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05" windowWidth="11400" windowHeight="6240" activeTab="1"/>
  </bookViews>
  <sheets>
    <sheet name="Contratos 2017" sheetId="3" r:id="rId1"/>
    <sheet name="Convenios 2017" sheetId="4" r:id="rId2"/>
    <sheet name="Contratos 2017 F y PE" sheetId="5" state="hidden" r:id="rId3"/>
    <sheet name="PROYECTOS ESPECIALES" sheetId="6" state="hidden" r:id="rId4"/>
    <sheet name="FIDEICOMISO" sheetId="7" state="hidden" r:id="rId5"/>
  </sheets>
  <definedNames>
    <definedName name="_xlnm._FilterDatabase" localSheetId="0" hidden="1">'Contratos 2017'!$A$10:$AE$10</definedName>
    <definedName name="_xlnm.Print_Area" localSheetId="0">'Contratos 2017'!$A$2:$O$16</definedName>
  </definedNames>
  <calcPr calcId="145621"/>
</workbook>
</file>

<file path=xl/calcChain.xml><?xml version="1.0" encoding="utf-8"?>
<calcChain xmlns="http://schemas.openxmlformats.org/spreadsheetml/2006/main">
  <c r="K43" i="3" l="1"/>
  <c r="L46" i="4" l="1"/>
  <c r="K28" i="5" l="1"/>
  <c r="K27" i="5" l="1"/>
  <c r="K42" i="3" l="1"/>
  <c r="K19" i="5" l="1"/>
  <c r="K18" i="5" l="1"/>
  <c r="K17" i="5"/>
  <c r="K16" i="5" l="1"/>
  <c r="K15" i="5"/>
  <c r="L43" i="4" l="1"/>
  <c r="L42" i="4"/>
  <c r="K26" i="5" l="1"/>
  <c r="N16" i="6" l="1"/>
  <c r="O16" i="6"/>
  <c r="L16" i="6"/>
  <c r="K16" i="6"/>
  <c r="N15" i="6" l="1"/>
  <c r="O15" i="6" s="1"/>
  <c r="L15" i="6"/>
  <c r="K15" i="6"/>
  <c r="K11" i="7" l="1"/>
  <c r="N11" i="7"/>
  <c r="O11" i="7" s="1"/>
  <c r="L11" i="7"/>
  <c r="K13" i="6"/>
  <c r="L13" i="6" s="1"/>
  <c r="N12" i="6"/>
  <c r="O12" i="6" s="1"/>
  <c r="K12" i="6"/>
  <c r="L12" i="6" s="1"/>
  <c r="G12" i="6"/>
  <c r="K11" i="6"/>
  <c r="L11" i="6" s="1"/>
  <c r="N14" i="6"/>
  <c r="O14" i="6" s="1"/>
  <c r="K14" i="6"/>
  <c r="L14" i="6" s="1"/>
  <c r="N13" i="6"/>
  <c r="O13" i="6" s="1"/>
  <c r="N11" i="6"/>
  <c r="O11" i="6" s="1"/>
  <c r="M33" i="3" l="1"/>
  <c r="N33" i="3" s="1"/>
  <c r="AE25" i="3" l="1"/>
  <c r="AE24" i="3"/>
  <c r="K30" i="3" l="1"/>
  <c r="K28" i="3"/>
  <c r="M28" i="3" s="1"/>
  <c r="N28" i="3" s="1"/>
  <c r="K34" i="3" l="1"/>
  <c r="M34" i="3" s="1"/>
  <c r="N34" i="3" s="1"/>
  <c r="K12" i="5" l="1"/>
  <c r="H12" i="5"/>
  <c r="K11" i="5"/>
  <c r="L34" i="4"/>
  <c r="L33" i="4"/>
  <c r="L21" i="4"/>
  <c r="L24" i="4"/>
  <c r="L23" i="4"/>
  <c r="L12" i="4"/>
  <c r="L9" i="4"/>
  <c r="L18" i="4"/>
  <c r="L17" i="4"/>
  <c r="L31" i="4"/>
  <c r="L30" i="4"/>
  <c r="I30" i="4"/>
  <c r="H40" i="4"/>
  <c r="I39" i="4"/>
  <c r="AE36" i="3" l="1"/>
  <c r="AD36" i="3"/>
  <c r="M37" i="3" l="1"/>
  <c r="N37" i="3" s="1"/>
  <c r="K37" i="3"/>
  <c r="K36" i="3" l="1"/>
  <c r="M17" i="3" l="1"/>
  <c r="M16" i="3"/>
  <c r="M15" i="3"/>
  <c r="M14" i="3"/>
  <c r="M13" i="3"/>
  <c r="M12" i="3"/>
  <c r="M11" i="3"/>
  <c r="M18" i="3"/>
  <c r="K35" i="3" l="1"/>
  <c r="K29" i="3" l="1"/>
  <c r="M29" i="3" s="1"/>
  <c r="K27" i="3"/>
  <c r="M27" i="3" s="1"/>
  <c r="M30" i="3"/>
  <c r="N30" i="3" s="1"/>
  <c r="K31" i="3"/>
  <c r="M31" i="3" s="1"/>
  <c r="N31" i="3" s="1"/>
  <c r="N27" i="3" l="1"/>
  <c r="N29" i="3"/>
  <c r="K32" i="3"/>
  <c r="M32" i="3" s="1"/>
  <c r="N32" i="3" s="1"/>
  <c r="M35" i="3" l="1"/>
  <c r="N35" i="3" s="1"/>
  <c r="M36" i="3"/>
  <c r="N36" i="3" s="1"/>
  <c r="N26" i="3" l="1"/>
  <c r="M26" i="3"/>
  <c r="K26" i="3"/>
  <c r="M25" i="3" l="1"/>
  <c r="M24" i="3"/>
  <c r="M21" i="3"/>
  <c r="M20" i="3"/>
  <c r="N25" i="3" l="1"/>
  <c r="N24" i="3"/>
  <c r="N17" i="3" l="1"/>
  <c r="K19" i="3"/>
  <c r="M19" i="3" s="1"/>
  <c r="N18" i="3"/>
  <c r="K22" i="3"/>
  <c r="N23" i="3"/>
  <c r="K23" i="3"/>
  <c r="M23" i="3" s="1"/>
  <c r="K21" i="3"/>
  <c r="N21" i="3" s="1"/>
  <c r="N20" i="3"/>
  <c r="K20" i="3"/>
  <c r="N22" i="3" l="1"/>
  <c r="M22" i="3"/>
  <c r="N19" i="3"/>
  <c r="L37" i="4"/>
  <c r="L36" i="4"/>
  <c r="N11" i="3" l="1"/>
  <c r="N16" i="3" l="1"/>
  <c r="N13" i="3"/>
  <c r="N14" i="3"/>
  <c r="N15" i="3"/>
  <c r="N12" i="3"/>
</calcChain>
</file>

<file path=xl/comments1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2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3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4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sharedStrings.xml><?xml version="1.0" encoding="utf-8"?>
<sst xmlns="http://schemas.openxmlformats.org/spreadsheetml/2006/main" count="990" uniqueCount="324">
  <si>
    <t>CENTRO DE INVESTIGACIONES EN ÓPTICA, A.C.</t>
  </si>
  <si>
    <t>DIRECCIÓN ADMINISTRATIVA</t>
  </si>
  <si>
    <t>Departamento de Servicios Generales</t>
  </si>
  <si>
    <t>Núm de Contrato</t>
  </si>
  <si>
    <t>No. de concurso o licitación</t>
  </si>
  <si>
    <t>Proveedor Contratado</t>
  </si>
  <si>
    <t>Bienes Adquiridos o Servicios Contratados</t>
  </si>
  <si>
    <t>Observaciones</t>
  </si>
  <si>
    <t>Fechas</t>
  </si>
  <si>
    <t>Unidad Administrativa que celebra el contrato</t>
  </si>
  <si>
    <t>Procedimiento de Compra</t>
  </si>
  <si>
    <t>Importe sin I.V.A.</t>
  </si>
  <si>
    <t>Formalización</t>
  </si>
  <si>
    <t xml:space="preserve">Inicio </t>
  </si>
  <si>
    <t>Término</t>
  </si>
  <si>
    <t>Moneda</t>
  </si>
  <si>
    <t>Dirección General</t>
  </si>
  <si>
    <t>CONTRATOS DE ADQUISICIONES, ARRENDAMIENTOS, SERVICIOS Y OBRAS PÚBLICAS</t>
  </si>
  <si>
    <t>CONVENIOS DE MODIFICACION DE ADQUISICIONES, ARRENDAMIENTOS, SERVICIOS Y OBRAS PÚBLICAS  2015</t>
  </si>
  <si>
    <t>Responsable de la información: L.C.I. Carmen Elvira Ibarra Cordero (Responsable de Adquisiciones)</t>
  </si>
  <si>
    <t>Pesos</t>
  </si>
  <si>
    <t>Multisurtidora GOG, S.A. de C.V.</t>
  </si>
  <si>
    <t>Código de contrato en Compranet</t>
  </si>
  <si>
    <t>Balandrano Ink, S.A. de C.V.</t>
  </si>
  <si>
    <t>Food Service de México, S.A. de C.V.</t>
  </si>
  <si>
    <t>Expediente electrónico: 6C.6 CONTRATOS</t>
  </si>
  <si>
    <t>Fundamento legal</t>
  </si>
  <si>
    <t>PROYECTOS ESPECIALES</t>
  </si>
  <si>
    <t>FIDEICOMISO</t>
  </si>
  <si>
    <t>Expediente</t>
  </si>
  <si>
    <t>Importe con IVA</t>
  </si>
  <si>
    <t>Contrato</t>
  </si>
  <si>
    <t>CIO-SG-2017-005</t>
  </si>
  <si>
    <t>CIO-SG-2017-001</t>
  </si>
  <si>
    <t>CIO-SG-2017-002</t>
  </si>
  <si>
    <t>CIO-SG-2017-003</t>
  </si>
  <si>
    <t>CIO-SG-2017-004</t>
  </si>
  <si>
    <t xml:space="preserve">LA-03890G999-E132-2016 </t>
  </si>
  <si>
    <t>Materiales y suministros de cafetería</t>
  </si>
  <si>
    <t>Contrato abierto, monto mínimo $48,000.00, monto máximo $120,000.00 pesos sin IVA</t>
  </si>
  <si>
    <t>Licitación Pública consolidada (CIO-CIATEC-CIMAT)</t>
  </si>
  <si>
    <t>Tanto firmado</t>
  </si>
  <si>
    <t>Garantía de cumplimiento</t>
  </si>
  <si>
    <t>Garantía de anticipo</t>
  </si>
  <si>
    <t>Prolimpieza, S.A. de C.V.</t>
  </si>
  <si>
    <t>Materiales y suministros de limpieza</t>
  </si>
  <si>
    <t>Contrato abierto, monto mínimo $40,000.00, monto máximo $100,000.00 pesos sin IVA</t>
  </si>
  <si>
    <t>Artículo 26, fracción I</t>
  </si>
  <si>
    <t>Materiales y suministros de impresión</t>
  </si>
  <si>
    <t>Contrato abierto, monto mínimo $80,000.00, monto máximo $200,000.00 pesos sin IVA</t>
  </si>
  <si>
    <t>Materiales y suministros de oficina</t>
  </si>
  <si>
    <t>LA-03890S999-E58-2016</t>
  </si>
  <si>
    <t>Servicio de expedición de pasajes aéreos</t>
  </si>
  <si>
    <t>Contrato abierto, monto mínimo $379,310.034, monto máximo $948,275.86 pesos sin IVA</t>
  </si>
  <si>
    <t>Licitación Pública consolidada (CIO-CIMAT)</t>
  </si>
  <si>
    <t>Intertour Uquime, S.A. de C.V.</t>
  </si>
  <si>
    <t>CIO-RH-2017-001</t>
  </si>
  <si>
    <t>IA-03890S999-E3-2017.</t>
  </si>
  <si>
    <t>Toka Internacional S.A.P.I. de C.V.</t>
  </si>
  <si>
    <t>Expedición de vales de despensa mensuales</t>
  </si>
  <si>
    <t>Partidas presupuestales 15401 y 15901</t>
  </si>
  <si>
    <t>Invitación a cuando menos tres personas</t>
  </si>
  <si>
    <t>Artículo 26, fracción II</t>
  </si>
  <si>
    <t>ok</t>
  </si>
  <si>
    <t>N/A</t>
  </si>
  <si>
    <t>CIO-SG-2017-006</t>
  </si>
  <si>
    <t>Estrategias en Tecnología Corporativa, S.A. de C.V.</t>
  </si>
  <si>
    <t>CIO-SG-2016-057</t>
  </si>
  <si>
    <t>No aplica</t>
  </si>
  <si>
    <t>Satelsa, S.A. de C.V.</t>
  </si>
  <si>
    <t>Kit de actuadores</t>
  </si>
  <si>
    <t>Recursos fiscales, cartera 153890S0003 - Programa de Adquisiciones 2016 (SG162808)</t>
  </si>
  <si>
    <t>Adjudicación diercta</t>
  </si>
  <si>
    <t>Dólares</t>
  </si>
  <si>
    <t>Convenio de modificación al contrato CIO-SG-2016-057</t>
  </si>
  <si>
    <t>Se otorga al proveedor prórroga para la entrega de los bienes en cuestión por 27 dias naturales, plazo que vence el 27 de febrero de 2017.</t>
  </si>
  <si>
    <t>CIO-SG-2017-007</t>
  </si>
  <si>
    <t>CIO-SG-2017-008</t>
  </si>
  <si>
    <t>CIO-SG-2017-009</t>
  </si>
  <si>
    <t>CIO-SG-2017-010</t>
  </si>
  <si>
    <t>CIO-SG-2017-011</t>
  </si>
  <si>
    <t>CIO-SG-2017-012</t>
  </si>
  <si>
    <t>Grupo Nacional Provincial S.A.B.</t>
  </si>
  <si>
    <t>LA-03890S999-E4-2017</t>
  </si>
  <si>
    <t>Póliza de seguro de transporte de mercacnías.</t>
  </si>
  <si>
    <t>Licitación Pública</t>
  </si>
  <si>
    <t>Partida numero 2 de la licitación.  Cuota de declaración mensual de embarques 0.147%</t>
  </si>
  <si>
    <t>Póliza múltiple empresarial</t>
  </si>
  <si>
    <t xml:space="preserve">Partida numero 1 de la licitación.  </t>
  </si>
  <si>
    <t>Seguros Banorte S.A. de C.V. Grupo Financiero Banorte</t>
  </si>
  <si>
    <t>Póliza de seguro de gastos médicos mayores</t>
  </si>
  <si>
    <t xml:space="preserve">Partida numero 3 de la licitación.  </t>
  </si>
  <si>
    <t>Seguros de vida Sura México, S.A. de C.V.</t>
  </si>
  <si>
    <t>Póliza de seguro de vida</t>
  </si>
  <si>
    <t xml:space="preserve">Partida numero 4 de la licitación.  </t>
  </si>
  <si>
    <t>Art. 28 LAASSP</t>
  </si>
  <si>
    <t>Josefina Cynthia Villalobos Ojeda</t>
  </si>
  <si>
    <t>Prestación de servicios especializados en oftalmología.</t>
  </si>
  <si>
    <t>Adjudicación Directa</t>
  </si>
  <si>
    <t>José Alberto Hernández Vargas</t>
  </si>
  <si>
    <t>Servicios prestados en el Laboratorio de Óptica de la Visión</t>
  </si>
  <si>
    <t>Artículo 42</t>
  </si>
  <si>
    <t>Prestación del servicio de mantenimiento del conmutador</t>
  </si>
  <si>
    <t>Partida presupuesta 35201</t>
  </si>
  <si>
    <t>CIO-SG-2017-013</t>
  </si>
  <si>
    <t>CIO-SG-2017-014</t>
  </si>
  <si>
    <t>LA-03890S999-E2-2017.</t>
  </si>
  <si>
    <t>Limyja, S.A. de C.V</t>
  </si>
  <si>
    <t>Servicio de limpieza para las instalaciones del CIO León y el CIO Aguascalientes</t>
  </si>
  <si>
    <t>Servicio de vigilancia para las instalaciones del CIO León y el CIO Aguascalientes</t>
  </si>
  <si>
    <t>Limpieza y Vigilancia Profesional Empresarial, S.A. de C.V.</t>
  </si>
  <si>
    <t>CIO-PEOP-001-2017</t>
  </si>
  <si>
    <t>Mool, S.A. de C.V.</t>
  </si>
  <si>
    <t>Proyecto ejecutivo para la construcción del Hangar y Laboratorios en la Unidad Aguascalientes</t>
  </si>
  <si>
    <t>n/a</t>
  </si>
  <si>
    <t>Opinion de cumplimiento</t>
  </si>
  <si>
    <t>Acta constitutiva</t>
  </si>
  <si>
    <t>RFC</t>
  </si>
  <si>
    <t>Comprobante de domicilio</t>
  </si>
  <si>
    <t>IFE</t>
  </si>
  <si>
    <t>Dirección de envío de contrato</t>
  </si>
  <si>
    <t>Importe sin I.V.A. en pesos</t>
  </si>
  <si>
    <t>CIO-SG-2017-015</t>
  </si>
  <si>
    <t>SPN, S.A. de C.V.</t>
  </si>
  <si>
    <t>Servicio de mantenimiento preventeivo a sistemas de energía ininterrumplible propiedad del CIO</t>
  </si>
  <si>
    <t>CIO-SG-2017-016</t>
  </si>
  <si>
    <t>CIO-SG-2017-017</t>
  </si>
  <si>
    <t>CIO-SG-2017-018</t>
  </si>
  <si>
    <t>Viene Leticia al CIO</t>
  </si>
  <si>
    <t>Científica Senna, S.A. de C.V.</t>
  </si>
  <si>
    <t>Compra de materiales y suministros de laboratorio. Pedido SG170291.</t>
  </si>
  <si>
    <t>Artículo 41, fracción XVII</t>
  </si>
  <si>
    <t>Guazo Velázquez Liliana</t>
  </si>
  <si>
    <t>Servicio de comida de 3 tiempos y canapes, mobiliario, meseros, refrescos y hielo. Pedido SG170294</t>
  </si>
  <si>
    <t>CIO-SG-2017-021</t>
  </si>
  <si>
    <t>Banda Trejo Jesús</t>
  </si>
  <si>
    <t>Servicio de mantenimiento a equipos de fotocopiado</t>
  </si>
  <si>
    <t>Pedido</t>
  </si>
  <si>
    <t>partida presupuestal</t>
  </si>
  <si>
    <t>Sin pedido</t>
  </si>
  <si>
    <t>CIO-PE-2017-001</t>
  </si>
  <si>
    <t>Intecs Instrumentación, S.A. de C.V.</t>
  </si>
  <si>
    <t xml:space="preserve">Adquisición de materiales de laboratorio. </t>
  </si>
  <si>
    <t xml:space="preserve">Proyecto CONACYT 166070. </t>
  </si>
  <si>
    <t>CIO-SG-2017-020</t>
  </si>
  <si>
    <t>Cuevas Cruz Jorge</t>
  </si>
  <si>
    <t>Servicio de mantenimiento a transformadores del CIO León y Cio Aguascalientes</t>
  </si>
  <si>
    <t>SG170228</t>
  </si>
  <si>
    <t>CIO-SG-2017-019</t>
  </si>
  <si>
    <t>Aguirre Ramírez Patricia</t>
  </si>
  <si>
    <t>Servicio de mantenimiento preventivo a 4 plantas eléctricas</t>
  </si>
  <si>
    <t>SG170264</t>
  </si>
  <si>
    <t>Jiro y Asociados Agente de Seguros y Fianzas, S.A. de C.V.</t>
  </si>
  <si>
    <t>Servicio de asesoría en materia de seguros y fianzas</t>
  </si>
  <si>
    <t>Fegsa Instalaciones, S.A. de C.V.</t>
  </si>
  <si>
    <t>Alafita de la Rosa Aquiles</t>
  </si>
  <si>
    <t>Servicio de mantenimiento preventivo 13 equipos de aire acondicionado. Cio Aguascalientes.</t>
  </si>
  <si>
    <t>Servicio de mantenimiento preventivo y correctivo a 157 equipos de aire acondicionado. CIO León</t>
  </si>
  <si>
    <t>CIO-SG-2017-023</t>
  </si>
  <si>
    <t>SG170294</t>
  </si>
  <si>
    <t>CIO-SG-2017-024</t>
  </si>
  <si>
    <t>Desarrollo Creativo Imagina, S.A. de C.V.</t>
  </si>
  <si>
    <t>Contratación de estudio de mercado</t>
  </si>
  <si>
    <t>15401 Y 15901</t>
  </si>
  <si>
    <t>37101, 37104 y 37106</t>
  </si>
  <si>
    <t>21201 y 21401</t>
  </si>
  <si>
    <t>LPN consolidada.  Contratacion plurianual. El monto reportado corresponde solo al 2017. Monto total del contrato $ 1,707,492.32 pesos mas IVA.</t>
  </si>
  <si>
    <t>CIO-SG-2017-025</t>
  </si>
  <si>
    <t>SG170291</t>
  </si>
  <si>
    <t>LPN consolidada.  Contratacion plurianual. El monto reportado corresponde solo al 2017. Monto total del contrato $ 1,654,939.20 pesos  mas IVA.</t>
  </si>
  <si>
    <t>LA-03890G999-E132-2016</t>
  </si>
  <si>
    <t>CIO-SG-2017-026</t>
  </si>
  <si>
    <t>Curver, S.A. de C.V.</t>
  </si>
  <si>
    <t>Servicio de alimentación para el evento del 37 aniversario del CIO</t>
  </si>
  <si>
    <t>REGISTRADO EN RUPC</t>
  </si>
  <si>
    <t>SI</t>
  </si>
  <si>
    <t>NO</t>
  </si>
  <si>
    <t xml:space="preserve">SI </t>
  </si>
  <si>
    <t>CIO-SG-2016-059</t>
  </si>
  <si>
    <t>Montajes Electromecánicos e Ingeniería, S.A. de C.V.</t>
  </si>
  <si>
    <t>Sistema de deposición de capa atómica</t>
  </si>
  <si>
    <t>Recursos fiscales, cartera 133890S0006 - Laboratorios Nacional y Central en Óptica y Fotónica (SG162818)</t>
  </si>
  <si>
    <t>Se otorga al proveedor prórroga para la entrega de los bienes en cuestión por 26 dias naturales, plazo que vence el 1 de marzo de 2017.</t>
  </si>
  <si>
    <t>CIO-SG-2016-046</t>
  </si>
  <si>
    <t>Intercovamex, S.A. de .C.V</t>
  </si>
  <si>
    <t>Adquisición de varios equipos</t>
  </si>
  <si>
    <t>Recursos fiscales, cartera 133890S0003 - Laboratorios Nacionales y Central (SG162670)</t>
  </si>
  <si>
    <t>Se otorga al proveedor prórroga para la entrega de los bienes en cuestión, quedando como sigue: 21 días alineadora de mascaras 19/05/17; 32 dias cajas de guantes 31/03/17 y 32 dias RIE 31/03/17</t>
  </si>
  <si>
    <t>CIO-SG-2016-050</t>
  </si>
  <si>
    <t>Instrumel, S.A. de C.V.</t>
  </si>
  <si>
    <t>Láser de bombeo de 1200W</t>
  </si>
  <si>
    <t>Recursos fiscales, cartera 153890S0003 - Programa de Adquisiciones 2016 (SG162631)</t>
  </si>
  <si>
    <t>Se otorga al proveedor prórroga para la entrega de los bienes en cuestión por30 dias naturales, plazo que vence el 25 de marzo de 2017.</t>
  </si>
  <si>
    <t>CIO-SG-2016-033</t>
  </si>
  <si>
    <t>Grupo Multihome, S.A. de C.V.</t>
  </si>
  <si>
    <t>Modulos para armado de cuarto limpio y 2 campanas de extraccion (SG161707)</t>
  </si>
  <si>
    <t>Recursos fiscales, cartera de inversión 133890S0006, partida presupuestal 53101</t>
  </si>
  <si>
    <t>SEGUNDO CONVENIO MODIFICATORIO CIO-SG-2016-033</t>
  </si>
  <si>
    <t>Se otorga al proveedor prórroga para la entrega de los bienes en cuestión por 93 dias naturales, plazo que vence el 30 de abril de 2017.</t>
  </si>
  <si>
    <t>CIO-SG-2016-013</t>
  </si>
  <si>
    <t>Licitación Pública Nacional NO. LA-03890S999-E4-2016</t>
  </si>
  <si>
    <t>Mapfre Tepeyac, S.A.</t>
  </si>
  <si>
    <t>Poliza múltiple empresarial</t>
  </si>
  <si>
    <t>Partida 1 de la licitacion</t>
  </si>
  <si>
    <t>CIO-SG-2016-015</t>
  </si>
  <si>
    <t>Poliza de seguro de gastos médicos mayores</t>
  </si>
  <si>
    <t>Partida 3 de la licitacion</t>
  </si>
  <si>
    <t>CIO-SG-2016-016</t>
  </si>
  <si>
    <t>Poliza de seguro de vida</t>
  </si>
  <si>
    <t>Partida 4 de la licitacion</t>
  </si>
  <si>
    <t>Ampliación de la vigencia de la poliza por un periodo de 59 dias naturales y de su costo por la ampliación del tiempo.</t>
  </si>
  <si>
    <t>CIO-SG-2016-043</t>
  </si>
  <si>
    <t>Productos Metálicos Steele, S.A. de C.V.</t>
  </si>
  <si>
    <t>Archivo móvil AM-02</t>
  </si>
  <si>
    <t>Recursos fiscales, cartera 153890S0002 - Sustitución de activos (SG162475)</t>
  </si>
  <si>
    <t>Se otorga al proveedor prórroga para la entrega de los bienes en cuestión por 35 dias naturales, plazo que vence el 30 de enero de 2017.</t>
  </si>
  <si>
    <t>CIO-SG-2016-040</t>
  </si>
  <si>
    <t>Servicio de cierre de 14 lineas mecánicas y de control</t>
  </si>
  <si>
    <t>Recursos propios, pedido SG162060</t>
  </si>
  <si>
    <t>Se otorga al proveedor prórroga para la entrega de los bienes en cuestión por 2 semanas, plazo que vence el 4 de enero de 2017.  Se incrementa el monto del contrato por $34,050.00 pesos</t>
  </si>
  <si>
    <t>CIO-SG-2016-056</t>
  </si>
  <si>
    <t>Isaías Daniel López Mendoza</t>
  </si>
  <si>
    <t>Sistema de visión artificial</t>
  </si>
  <si>
    <t>Recursos fiscales, cartera 153890S0003 - Programa de Adquisiciones 2016 (SG162796)</t>
  </si>
  <si>
    <t>Se otorga al proveedor prórroga para la entrega de los bienes en cuestión por 17 dias naturales, plazo que vence el 27 de febrero de 2017.</t>
  </si>
  <si>
    <t>CIO-PE-2017-002</t>
  </si>
  <si>
    <t>Leonardo Martín Padilla Zaragoza</t>
  </si>
  <si>
    <t>Servicios Profesionales para la determinación y estudio de mercado.</t>
  </si>
  <si>
    <t>CIO-PE-2017-003</t>
  </si>
  <si>
    <t>Euroamerica in Motion, S.A. de C.V.</t>
  </si>
  <si>
    <t>Adquisición de una cámara CCD ultravioleta</t>
  </si>
  <si>
    <t>CIO-SG-2017-022</t>
  </si>
  <si>
    <t>SG170477</t>
  </si>
  <si>
    <t>Proveedor pasa por el</t>
  </si>
  <si>
    <t>no aplica</t>
  </si>
  <si>
    <t>Artículo 41, fracción XII</t>
  </si>
  <si>
    <t>revisar con gaby los montos con iva en el contrato firmado</t>
  </si>
  <si>
    <t>CONFIRMAR CON GABY LOS MONTOS DEL CONTRATO</t>
  </si>
  <si>
    <t>SG170393</t>
  </si>
  <si>
    <t>PRIMER CONVENION MODIFICATORIO AL CONTRATO CIO-SG-2016-046</t>
  </si>
  <si>
    <t>SEGUNDO CONVENION MODIFICATORIO AL CONTRATO CIO-SG-2016-046</t>
  </si>
  <si>
    <t>Se otorga al proveedor prórroga para la entrega de las cajas de guantes de 49 dias naturales plazo que vence el 19 de mayo de 2017.</t>
  </si>
  <si>
    <t>Servicio de comedor para empleados y estudiantes en las instalaciones del cio</t>
  </si>
  <si>
    <t>CIO-SG-2017-027</t>
  </si>
  <si>
    <t>Reparación de chiller del edificio G</t>
  </si>
  <si>
    <t>CIO-PE-2017-004</t>
  </si>
  <si>
    <t>Equipo y materiales para laboratorio (SG170792)</t>
  </si>
  <si>
    <t>Partidas presupuestales 53101 Y 25501</t>
  </si>
  <si>
    <t>20/06/2017 Y 22/08/2017</t>
  </si>
  <si>
    <t>USD</t>
  </si>
  <si>
    <t>Tipo de cambio de referencia</t>
  </si>
  <si>
    <t>Importe sin I.V.A. en MN</t>
  </si>
  <si>
    <t>Importe con IVA en MN</t>
  </si>
  <si>
    <t>Equipo y materiales para laboratorio (SG170235)</t>
  </si>
  <si>
    <t>Partida presupuestal 33901</t>
  </si>
  <si>
    <t>Equipo y materiales para laboratorio (SG170351)</t>
  </si>
  <si>
    <t>MN</t>
  </si>
  <si>
    <t>Euroamerica In motion, S.A. de C.V.</t>
  </si>
  <si>
    <t>Equipo y materiales para laboratorio (SG170500)</t>
  </si>
  <si>
    <t>Partida presupuestal 53101</t>
  </si>
  <si>
    <t>Quien tramita</t>
  </si>
  <si>
    <t>Janderi</t>
  </si>
  <si>
    <t>Mónica</t>
  </si>
  <si>
    <t>CONTRATOS DE ADQUISICIONES, ARRENDAMIENTOS, SERVICIOS Y OBRAS PÚBLICAS CON CARGO A RECURSOS PROYECTOS ESPECIALES (CONACYT, FOMIX, ETC)</t>
  </si>
  <si>
    <t>CONTRATOS DE ADQUISICIONES, ARRENDAMIENTOS, SERVICIOS Y OBRAS PÚBLICAS CON CARGO A RECURSOS DEL FIDEICOMISO</t>
  </si>
  <si>
    <t>CIO-FI-2017-001</t>
  </si>
  <si>
    <t>Santré Industrial, S.A. de C.V.</t>
  </si>
  <si>
    <t>Mobiliario de laboratorio (SG170830)</t>
  </si>
  <si>
    <t>Partida presupuestal 51101</t>
  </si>
  <si>
    <t>Carmen</t>
  </si>
  <si>
    <t>Servicio de arrendamiento plurianual de equipo de cómputo</t>
  </si>
  <si>
    <t>LA-03890S999-E13-2017</t>
  </si>
  <si>
    <t>El importe reportado corresponde al ejercicio fiscal 2017.  El importe total del contrato es de $ 2,045,335.20 pesos IVA incluído.</t>
  </si>
  <si>
    <t>CIO-SG-2017-028</t>
  </si>
  <si>
    <t>CIO-SG-2017-029</t>
  </si>
  <si>
    <t>Firman en el CIO</t>
  </si>
  <si>
    <t>CIO-SG-2017-030</t>
  </si>
  <si>
    <t>Articulo 26, fracción I</t>
  </si>
  <si>
    <t>CIO-PE-2017-005</t>
  </si>
  <si>
    <t>Kevork Instruments, S.A. de C.V.</t>
  </si>
  <si>
    <t>Topógrafo corneal Pentacam AXL</t>
  </si>
  <si>
    <t>CIO-PE-2017-006</t>
  </si>
  <si>
    <t>Systelectro, S.A. de C.V.</t>
  </si>
  <si>
    <t>Lentes y monturas</t>
  </si>
  <si>
    <t>Partida presupuestal 25501</t>
  </si>
  <si>
    <t>Santre Industrial, S.A. de C.V.</t>
  </si>
  <si>
    <t>Mobiliario para laboratorio</t>
  </si>
  <si>
    <t>TERCER CONVENIO MODIFICATORIO CIO-SG-2016-033</t>
  </si>
  <si>
    <t>Se otorga al proveedor prórroga para la entrega de los bienes en cuestión por 20 semanas, plazo que vence el 23 de septiembre de 2017.</t>
  </si>
  <si>
    <t>CIO-SG-2017-031</t>
  </si>
  <si>
    <t>Hoteles México, S.A. de C.V.</t>
  </si>
  <si>
    <t>Kevork Insttruments, S.A. de C.V.</t>
  </si>
  <si>
    <t>Adquisición de un topógrafo corneal</t>
  </si>
  <si>
    <t>Adquisición de lentes y monturas</t>
  </si>
  <si>
    <t>Proyecto FOMIX 278141</t>
  </si>
  <si>
    <t>Proyecto CONACYT I000/513/2016.</t>
  </si>
  <si>
    <t>proyecto CONACYT 166070.</t>
  </si>
  <si>
    <t xml:space="preserve">proyecto CONACYT 280438 </t>
  </si>
  <si>
    <t>Fundamento legal: artículo 43 de la LOPSRM. Proyecto FOMIX 60135 (278141)</t>
  </si>
  <si>
    <t>CIO-PE-2017-007</t>
  </si>
  <si>
    <t>Técnica en Laboratorios, S.A.</t>
  </si>
  <si>
    <t>Adquisición de cámara Retiga R6</t>
  </si>
  <si>
    <t>proyecto CONACYT 280438 LNOV , SG171163</t>
  </si>
  <si>
    <t>CIO-PE-2017-008</t>
  </si>
  <si>
    <t xml:space="preserve">Adquisición de materiales y equipo de laboratorio. </t>
  </si>
  <si>
    <t>proyecto CONACYT 280438 , SG171235, partidas 25501 y 53101 y 53201 .</t>
  </si>
  <si>
    <t>Servicio de hospedaje y alimentación.</t>
  </si>
  <si>
    <t>CIO-FI-2017-002</t>
  </si>
  <si>
    <t>Filtro y objetivo</t>
  </si>
  <si>
    <t>Partidas presupuestales 25501 y 53201</t>
  </si>
  <si>
    <t>Partidas presupuestales 25501 y 53101</t>
  </si>
  <si>
    <t>Soluciones en Ingenieria y Manufactura Salas, S.A. de C.V.</t>
  </si>
  <si>
    <t>Partida presupuestal 35701</t>
  </si>
  <si>
    <t>Adaptación de Router CNC a plasma CNC (SG171408)</t>
  </si>
  <si>
    <t>CIO-PE-2017-009</t>
  </si>
  <si>
    <t>CIO-FI-2017-003</t>
  </si>
  <si>
    <t>Materiales y equipo de laboratorio (SG171371 y SG171425)</t>
  </si>
  <si>
    <t>PRIMER CONVENIO MODIFICATORIO CIO-SG-2017-031</t>
  </si>
  <si>
    <t>Incremento del monto de los servicios de hospedaje y alimentación para 10 personas mas.</t>
  </si>
  <si>
    <t>CIO-SG-2017-032</t>
  </si>
  <si>
    <t>Business Travel Consulting, S.A. de C.V.</t>
  </si>
  <si>
    <t>Servicios Integrales para la realización de congreso</t>
  </si>
  <si>
    <t>LA-03890S999-E29-2017</t>
  </si>
  <si>
    <t>Artículo 26, fraccion 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</si>
</sst>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1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/>
    <xf numFmtId="44" fontId="4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/>
    <xf numFmtId="44" fontId="4" fillId="2" borderId="0" xfId="1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44" fontId="4" fillId="0" borderId="0" xfId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4" fillId="0" borderId="0" xfId="0" applyFont="1" applyFill="1" applyAlignment="1">
      <alignment wrapText="1"/>
    </xf>
    <xf numFmtId="44" fontId="4" fillId="0" borderId="0" xfId="1" applyFont="1" applyFill="1"/>
    <xf numFmtId="0" fontId="4" fillId="0" borderId="0" xfId="0" applyFont="1" applyFill="1" applyAlignment="1">
      <alignment horizontal="center"/>
    </xf>
    <xf numFmtId="43" fontId="4" fillId="0" borderId="1" xfId="2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43" fontId="4" fillId="0" borderId="0" xfId="2" applyFont="1" applyFill="1"/>
    <xf numFmtId="14" fontId="4" fillId="0" borderId="0" xfId="1" applyNumberFormat="1" applyFont="1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4" fontId="4" fillId="0" borderId="6" xfId="1" applyFont="1" applyFill="1" applyBorder="1" applyAlignment="1">
      <alignment horizontal="center" vertical="center" wrapText="1"/>
    </xf>
    <xf numFmtId="44" fontId="4" fillId="0" borderId="6" xfId="0" applyNumberFormat="1" applyFont="1" applyFill="1" applyBorder="1" applyAlignment="1">
      <alignment horizontal="center" vertical="center" wrapText="1"/>
    </xf>
    <xf numFmtId="43" fontId="4" fillId="0" borderId="6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44" fontId="4" fillId="0" borderId="12" xfId="1" applyFont="1" applyFill="1" applyBorder="1" applyAlignment="1">
      <alignment horizontal="center" vertical="center" wrapText="1"/>
    </xf>
    <xf numFmtId="44" fontId="4" fillId="0" borderId="12" xfId="0" applyNumberFormat="1" applyFont="1" applyFill="1" applyBorder="1" applyAlignment="1">
      <alignment horizontal="center" vertical="center" wrapText="1"/>
    </xf>
    <xf numFmtId="43" fontId="4" fillId="0" borderId="12" xfId="2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4" fontId="4" fillId="0" borderId="17" xfId="0" applyNumberFormat="1" applyFont="1" applyFill="1" applyBorder="1" applyAlignment="1">
      <alignment horizontal="center" vertical="center" wrapText="1"/>
    </xf>
    <xf numFmtId="44" fontId="4" fillId="0" borderId="17" xfId="1" applyFont="1" applyFill="1" applyBorder="1" applyAlignment="1">
      <alignment horizontal="center" vertical="center" wrapText="1"/>
    </xf>
    <xf numFmtId="44" fontId="4" fillId="0" borderId="17" xfId="0" applyNumberFormat="1" applyFont="1" applyFill="1" applyBorder="1" applyAlignment="1">
      <alignment horizontal="center" vertical="center" wrapText="1"/>
    </xf>
    <xf numFmtId="43" fontId="4" fillId="0" borderId="17" xfId="2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44" fontId="4" fillId="0" borderId="20" xfId="1" applyFont="1" applyFill="1" applyBorder="1" applyAlignment="1">
      <alignment horizontal="center" vertical="center" wrapText="1"/>
    </xf>
    <xf numFmtId="44" fontId="4" fillId="0" borderId="20" xfId="0" applyNumberFormat="1" applyFont="1" applyFill="1" applyBorder="1" applyAlignment="1">
      <alignment horizontal="center" vertical="center" wrapText="1"/>
    </xf>
    <xf numFmtId="43" fontId="4" fillId="0" borderId="20" xfId="2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horizontal="center" vertical="justify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8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justify" wrapText="1"/>
    </xf>
    <xf numFmtId="0" fontId="3" fillId="2" borderId="6" xfId="0" applyFont="1" applyFill="1" applyBorder="1" applyAlignment="1">
      <alignment horizontal="center" vertical="justify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justify" wrapText="1"/>
    </xf>
    <xf numFmtId="0" fontId="3" fillId="3" borderId="6" xfId="0" applyFont="1" applyFill="1" applyBorder="1" applyAlignment="1">
      <alignment horizontal="center" vertical="justify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44" fontId="3" fillId="3" borderId="6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justify" wrapText="1"/>
    </xf>
    <xf numFmtId="44" fontId="3" fillId="4" borderId="1" xfId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889000</xdr:colOff>
      <xdr:row>1</xdr:row>
      <xdr:rowOff>58352</xdr:rowOff>
    </xdr:from>
    <xdr:to>
      <xdr:col>2</xdr:col>
      <xdr:colOff>698251</xdr:colOff>
      <xdr:row>6</xdr:row>
      <xdr:rowOff>108615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667" y="386435"/>
          <a:ext cx="1799166" cy="975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E84"/>
  <sheetViews>
    <sheetView zoomScaleNormal="100" workbookViewId="0">
      <pane xSplit="5" ySplit="10" topLeftCell="F38" activePane="bottomRight" state="frozen"/>
      <selection activeCell="F42" sqref="F42"/>
      <selection pane="topRight" activeCell="F42" sqref="F42"/>
      <selection pane="bottomLeft" activeCell="F42" sqref="F42"/>
      <selection pane="bottomRight" activeCell="A43" sqref="A43:D43"/>
    </sheetView>
  </sheetViews>
  <sheetFormatPr baseColWidth="10" defaultRowHeight="12" x14ac:dyDescent="0.2"/>
  <cols>
    <col min="1" max="1" width="16" style="18" customWidth="1"/>
    <col min="2" max="2" width="13.7109375" style="18" customWidth="1"/>
    <col min="3" max="3" width="23.7109375" style="27" customWidth="1"/>
    <col min="4" max="4" width="32.85546875" style="27" customWidth="1"/>
    <col min="5" max="5" width="26.85546875" style="18" customWidth="1"/>
    <col min="6" max="6" width="13.7109375" style="18" customWidth="1"/>
    <col min="7" max="8" width="11.140625" style="18" customWidth="1"/>
    <col min="9" max="9" width="10" style="18" customWidth="1"/>
    <col min="10" max="10" width="22.7109375" style="18" customWidth="1"/>
    <col min="11" max="11" width="15.5703125" style="28" customWidth="1"/>
    <col min="12" max="12" width="11.85546875" style="29" customWidth="1"/>
    <col min="13" max="13" width="14.7109375" style="29" hidden="1" customWidth="1"/>
    <col min="14" max="14" width="13.140625" style="29" hidden="1" customWidth="1"/>
    <col min="15" max="17" width="15.7109375" style="15" customWidth="1"/>
    <col min="18" max="19" width="15.7109375" style="47" hidden="1" customWidth="1"/>
    <col min="20" max="26" width="11.42578125" style="44" hidden="1" customWidth="1"/>
    <col min="27" max="27" width="14" style="44" hidden="1" customWidth="1"/>
    <col min="28" max="29" width="11.42578125" style="44" hidden="1" customWidth="1"/>
    <col min="30" max="30" width="11.42578125" style="18"/>
    <col min="31" max="31" width="12.140625" style="18" bestFit="1" customWidth="1"/>
    <col min="32" max="16384" width="11.42578125" style="18"/>
  </cols>
  <sheetData>
    <row r="1" spans="1:29" x14ac:dyDescent="0.2">
      <c r="A1" s="19"/>
      <c r="B1" s="20"/>
      <c r="C1" s="15"/>
      <c r="D1" s="21"/>
      <c r="E1" s="22"/>
      <c r="F1" s="22"/>
      <c r="G1" s="22"/>
      <c r="H1" s="22"/>
      <c r="K1" s="23"/>
      <c r="L1" s="24"/>
      <c r="M1" s="24"/>
      <c r="N1" s="24"/>
    </row>
    <row r="2" spans="1:29" ht="1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8"/>
      <c r="Q2" s="18"/>
      <c r="R2" s="44"/>
      <c r="S2" s="44"/>
    </row>
    <row r="3" spans="1:29" ht="14.25" x14ac:dyDescent="0.2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18"/>
      <c r="Q3" s="18"/>
      <c r="R3" s="44"/>
      <c r="S3" s="44"/>
    </row>
    <row r="4" spans="1:29" ht="14.25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18"/>
      <c r="Q4" s="18"/>
      <c r="R4" s="44"/>
      <c r="S4" s="44"/>
    </row>
    <row r="5" spans="1:29" ht="15" x14ac:dyDescent="0.2">
      <c r="A5" s="87" t="s">
        <v>17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18"/>
      <c r="Q5" s="18"/>
      <c r="R5" s="44"/>
      <c r="S5" s="44"/>
    </row>
    <row r="6" spans="1:29" ht="15" x14ac:dyDescent="0.2">
      <c r="A6" s="48"/>
      <c r="B6" s="48"/>
      <c r="C6" s="48"/>
      <c r="D6" s="48"/>
      <c r="E6" s="48"/>
      <c r="F6" s="48"/>
      <c r="G6" s="25" t="s">
        <v>19</v>
      </c>
      <c r="H6" s="48"/>
      <c r="I6" s="48"/>
      <c r="J6" s="48"/>
      <c r="K6" s="48"/>
      <c r="L6" s="48"/>
      <c r="M6" s="48"/>
      <c r="N6" s="48"/>
    </row>
    <row r="7" spans="1:29" ht="15" x14ac:dyDescent="0.2">
      <c r="A7" s="48"/>
      <c r="B7" s="48"/>
      <c r="C7" s="48"/>
      <c r="D7" s="48"/>
      <c r="E7" s="48"/>
      <c r="F7" s="48"/>
      <c r="G7" s="25" t="s">
        <v>25</v>
      </c>
      <c r="H7" s="48"/>
      <c r="I7" s="48"/>
      <c r="J7" s="48"/>
      <c r="K7" s="48"/>
      <c r="L7" s="48"/>
      <c r="M7" s="48"/>
      <c r="N7" s="48"/>
    </row>
    <row r="8" spans="1:29" x14ac:dyDescent="0.2">
      <c r="C8" s="18"/>
      <c r="D8" s="18"/>
      <c r="K8" s="18"/>
      <c r="L8" s="18"/>
      <c r="M8" s="18"/>
      <c r="N8" s="18"/>
    </row>
    <row r="9" spans="1:29" ht="12" customHeight="1" x14ac:dyDescent="0.2">
      <c r="A9" s="94" t="s">
        <v>31</v>
      </c>
      <c r="B9" s="94" t="s">
        <v>4</v>
      </c>
      <c r="C9" s="94" t="s">
        <v>5</v>
      </c>
      <c r="D9" s="90" t="s">
        <v>6</v>
      </c>
      <c r="E9" s="90" t="s">
        <v>7</v>
      </c>
      <c r="F9" s="95" t="s">
        <v>8</v>
      </c>
      <c r="G9" s="96"/>
      <c r="H9" s="97"/>
      <c r="I9" s="88" t="s">
        <v>9</v>
      </c>
      <c r="J9" s="90" t="s">
        <v>10</v>
      </c>
      <c r="K9" s="92" t="s">
        <v>11</v>
      </c>
      <c r="L9" s="98" t="s">
        <v>15</v>
      </c>
      <c r="M9" s="92" t="s">
        <v>121</v>
      </c>
      <c r="N9" s="92" t="s">
        <v>30</v>
      </c>
      <c r="O9" s="94" t="s">
        <v>22</v>
      </c>
      <c r="P9" s="95" t="s">
        <v>29</v>
      </c>
      <c r="Q9" s="94" t="s">
        <v>26</v>
      </c>
      <c r="R9" s="100" t="s">
        <v>137</v>
      </c>
      <c r="S9" s="100" t="s">
        <v>138</v>
      </c>
      <c r="T9" s="100" t="s">
        <v>120</v>
      </c>
      <c r="U9" s="100" t="s">
        <v>41</v>
      </c>
      <c r="V9" s="100" t="s">
        <v>42</v>
      </c>
      <c r="W9" s="100" t="s">
        <v>43</v>
      </c>
      <c r="X9" s="100" t="s">
        <v>115</v>
      </c>
      <c r="Y9" s="100" t="s">
        <v>116</v>
      </c>
      <c r="Z9" s="100" t="s">
        <v>117</v>
      </c>
      <c r="AA9" s="100" t="s">
        <v>118</v>
      </c>
      <c r="AB9" s="100" t="s">
        <v>119</v>
      </c>
      <c r="AC9" s="100" t="s">
        <v>174</v>
      </c>
    </row>
    <row r="10" spans="1:29" s="42" customFormat="1" ht="12.75" thickBot="1" x14ac:dyDescent="0.25">
      <c r="A10" s="90"/>
      <c r="B10" s="90"/>
      <c r="C10" s="90"/>
      <c r="D10" s="91"/>
      <c r="E10" s="91"/>
      <c r="F10" s="49" t="s">
        <v>12</v>
      </c>
      <c r="G10" s="49" t="s">
        <v>13</v>
      </c>
      <c r="H10" s="49" t="s">
        <v>14</v>
      </c>
      <c r="I10" s="89"/>
      <c r="J10" s="91"/>
      <c r="K10" s="93"/>
      <c r="L10" s="99"/>
      <c r="M10" s="93"/>
      <c r="N10" s="93"/>
      <c r="O10" s="90"/>
      <c r="P10" s="102"/>
      <c r="Q10" s="90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</row>
    <row r="11" spans="1:29" s="15" customFormat="1" ht="24" x14ac:dyDescent="0.2">
      <c r="A11" s="59" t="s">
        <v>56</v>
      </c>
      <c r="B11" s="60" t="s">
        <v>57</v>
      </c>
      <c r="C11" s="60" t="s">
        <v>58</v>
      </c>
      <c r="D11" s="60" t="s">
        <v>59</v>
      </c>
      <c r="E11" s="60" t="s">
        <v>60</v>
      </c>
      <c r="F11" s="61">
        <v>42762</v>
      </c>
      <c r="G11" s="61">
        <v>42762</v>
      </c>
      <c r="H11" s="61">
        <v>43100</v>
      </c>
      <c r="I11" s="60" t="s">
        <v>16</v>
      </c>
      <c r="J11" s="60" t="s">
        <v>61</v>
      </c>
      <c r="K11" s="62">
        <v>2210919.09</v>
      </c>
      <c r="L11" s="60" t="s">
        <v>20</v>
      </c>
      <c r="M11" s="63">
        <f t="shared" ref="M11:M25" si="0">IF(L11="Pesos",K11)</f>
        <v>2210919.09</v>
      </c>
      <c r="N11" s="64">
        <f>+K11</f>
        <v>2210919.09</v>
      </c>
      <c r="O11" s="60">
        <v>1317589</v>
      </c>
      <c r="P11" s="60">
        <v>1253049</v>
      </c>
      <c r="Q11" s="60" t="s">
        <v>62</v>
      </c>
      <c r="R11" s="65" t="s">
        <v>64</v>
      </c>
      <c r="S11" s="65" t="s">
        <v>163</v>
      </c>
      <c r="T11" s="65"/>
      <c r="U11" s="65" t="s">
        <v>63</v>
      </c>
      <c r="V11" s="65" t="s">
        <v>63</v>
      </c>
      <c r="W11" s="65" t="s">
        <v>64</v>
      </c>
      <c r="X11" s="65" t="s">
        <v>63</v>
      </c>
      <c r="Y11" s="65" t="s">
        <v>63</v>
      </c>
      <c r="Z11" s="65" t="s">
        <v>63</v>
      </c>
      <c r="AA11" s="65" t="s">
        <v>63</v>
      </c>
      <c r="AB11" s="65" t="s">
        <v>63</v>
      </c>
      <c r="AC11" s="66" t="s">
        <v>175</v>
      </c>
    </row>
    <row r="12" spans="1:29" s="15" customFormat="1" ht="36" x14ac:dyDescent="0.2">
      <c r="A12" s="67" t="s">
        <v>33</v>
      </c>
      <c r="B12" s="13" t="s">
        <v>51</v>
      </c>
      <c r="C12" s="13" t="s">
        <v>55</v>
      </c>
      <c r="D12" s="13" t="s">
        <v>52</v>
      </c>
      <c r="E12" s="13" t="s">
        <v>53</v>
      </c>
      <c r="F12" s="14">
        <v>42726</v>
      </c>
      <c r="G12" s="14">
        <v>42744</v>
      </c>
      <c r="H12" s="14">
        <v>43100</v>
      </c>
      <c r="I12" s="13" t="s">
        <v>16</v>
      </c>
      <c r="J12" s="13" t="s">
        <v>54</v>
      </c>
      <c r="K12" s="31">
        <v>948275.86</v>
      </c>
      <c r="L12" s="13" t="s">
        <v>20</v>
      </c>
      <c r="M12" s="46">
        <f t="shared" si="0"/>
        <v>948275.86</v>
      </c>
      <c r="N12" s="30">
        <f t="shared" ref="N12:N17" si="1">+K12*1.16</f>
        <v>1099999.9975999999</v>
      </c>
      <c r="O12" s="13">
        <v>1302487</v>
      </c>
      <c r="P12" s="13">
        <v>1214832</v>
      </c>
      <c r="Q12" s="13" t="s">
        <v>47</v>
      </c>
      <c r="R12" s="45" t="s">
        <v>64</v>
      </c>
      <c r="S12" s="45" t="s">
        <v>164</v>
      </c>
      <c r="T12" s="45"/>
      <c r="U12" s="45" t="s">
        <v>63</v>
      </c>
      <c r="V12" s="45" t="s">
        <v>63</v>
      </c>
      <c r="W12" s="45" t="s">
        <v>64</v>
      </c>
      <c r="X12" s="45" t="s">
        <v>63</v>
      </c>
      <c r="Y12" s="45" t="s">
        <v>63</v>
      </c>
      <c r="Z12" s="45" t="s">
        <v>63</v>
      </c>
      <c r="AA12" s="45" t="s">
        <v>63</v>
      </c>
      <c r="AB12" s="45" t="s">
        <v>63</v>
      </c>
      <c r="AC12" s="68" t="s">
        <v>175</v>
      </c>
    </row>
    <row r="13" spans="1:29" s="15" customFormat="1" ht="36" x14ac:dyDescent="0.2">
      <c r="A13" s="67" t="s">
        <v>34</v>
      </c>
      <c r="B13" s="13" t="s">
        <v>170</v>
      </c>
      <c r="C13" s="13" t="s">
        <v>23</v>
      </c>
      <c r="D13" s="13" t="s">
        <v>50</v>
      </c>
      <c r="E13" s="13" t="s">
        <v>46</v>
      </c>
      <c r="F13" s="14">
        <v>42733</v>
      </c>
      <c r="G13" s="14">
        <v>42744</v>
      </c>
      <c r="H13" s="14">
        <v>43100</v>
      </c>
      <c r="I13" s="13" t="s">
        <v>16</v>
      </c>
      <c r="J13" s="13" t="s">
        <v>40</v>
      </c>
      <c r="K13" s="31">
        <v>100000</v>
      </c>
      <c r="L13" s="13" t="s">
        <v>20</v>
      </c>
      <c r="M13" s="46">
        <f t="shared" si="0"/>
        <v>100000</v>
      </c>
      <c r="N13" s="30">
        <f t="shared" si="1"/>
        <v>115999.99999999999</v>
      </c>
      <c r="O13" s="13">
        <v>1322949</v>
      </c>
      <c r="P13" s="13">
        <v>1266806</v>
      </c>
      <c r="Q13" s="13" t="s">
        <v>47</v>
      </c>
      <c r="R13" s="45" t="s">
        <v>64</v>
      </c>
      <c r="S13" s="45">
        <v>21101</v>
      </c>
      <c r="T13" s="45"/>
      <c r="U13" s="45" t="s">
        <v>63</v>
      </c>
      <c r="V13" s="45" t="s">
        <v>63</v>
      </c>
      <c r="W13" s="45" t="s">
        <v>64</v>
      </c>
      <c r="X13" s="45" t="s">
        <v>63</v>
      </c>
      <c r="Y13" s="45" t="s">
        <v>63</v>
      </c>
      <c r="Z13" s="45" t="s">
        <v>63</v>
      </c>
      <c r="AA13" s="45" t="s">
        <v>63</v>
      </c>
      <c r="AB13" s="45" t="s">
        <v>63</v>
      </c>
      <c r="AC13" s="68" t="s">
        <v>175</v>
      </c>
    </row>
    <row r="14" spans="1:29" s="15" customFormat="1" ht="36" x14ac:dyDescent="0.2">
      <c r="A14" s="67" t="s">
        <v>35</v>
      </c>
      <c r="B14" s="13" t="s">
        <v>37</v>
      </c>
      <c r="C14" s="13" t="s">
        <v>21</v>
      </c>
      <c r="D14" s="13" t="s">
        <v>48</v>
      </c>
      <c r="E14" s="13" t="s">
        <v>49</v>
      </c>
      <c r="F14" s="14">
        <v>42733</v>
      </c>
      <c r="G14" s="14">
        <v>42744</v>
      </c>
      <c r="H14" s="14">
        <v>43100</v>
      </c>
      <c r="I14" s="13" t="s">
        <v>16</v>
      </c>
      <c r="J14" s="13" t="s">
        <v>40</v>
      </c>
      <c r="K14" s="31">
        <v>200000</v>
      </c>
      <c r="L14" s="13" t="s">
        <v>20</v>
      </c>
      <c r="M14" s="46">
        <f t="shared" si="0"/>
        <v>200000</v>
      </c>
      <c r="N14" s="30">
        <f t="shared" si="1"/>
        <v>231999.99999999997</v>
      </c>
      <c r="O14" s="13">
        <v>1322980</v>
      </c>
      <c r="P14" s="13">
        <v>1266806</v>
      </c>
      <c r="Q14" s="13" t="s">
        <v>47</v>
      </c>
      <c r="R14" s="45" t="s">
        <v>64</v>
      </c>
      <c r="S14" s="45" t="s">
        <v>165</v>
      </c>
      <c r="T14" s="45"/>
      <c r="U14" s="45" t="s">
        <v>63</v>
      </c>
      <c r="V14" s="45" t="s">
        <v>63</v>
      </c>
      <c r="W14" s="45" t="s">
        <v>64</v>
      </c>
      <c r="X14" s="45" t="s">
        <v>63</v>
      </c>
      <c r="Y14" s="45" t="s">
        <v>63</v>
      </c>
      <c r="Z14" s="45" t="s">
        <v>63</v>
      </c>
      <c r="AA14" s="45" t="s">
        <v>63</v>
      </c>
      <c r="AB14" s="45" t="s">
        <v>63</v>
      </c>
      <c r="AC14" s="68" t="s">
        <v>175</v>
      </c>
    </row>
    <row r="15" spans="1:29" s="15" customFormat="1" ht="36" x14ac:dyDescent="0.2">
      <c r="A15" s="67" t="s">
        <v>36</v>
      </c>
      <c r="B15" s="13" t="s">
        <v>37</v>
      </c>
      <c r="C15" s="13" t="s">
        <v>44</v>
      </c>
      <c r="D15" s="13" t="s">
        <v>45</v>
      </c>
      <c r="E15" s="13" t="s">
        <v>46</v>
      </c>
      <c r="F15" s="14">
        <v>42733</v>
      </c>
      <c r="G15" s="14">
        <v>42744</v>
      </c>
      <c r="H15" s="14">
        <v>43100</v>
      </c>
      <c r="I15" s="13" t="s">
        <v>16</v>
      </c>
      <c r="J15" s="13" t="s">
        <v>40</v>
      </c>
      <c r="K15" s="31">
        <v>100000</v>
      </c>
      <c r="L15" s="13" t="s">
        <v>20</v>
      </c>
      <c r="M15" s="46">
        <f t="shared" si="0"/>
        <v>100000</v>
      </c>
      <c r="N15" s="30">
        <f t="shared" si="1"/>
        <v>115999.99999999999</v>
      </c>
      <c r="O15" s="13">
        <v>1323004</v>
      </c>
      <c r="P15" s="13">
        <v>1266806</v>
      </c>
      <c r="Q15" s="13" t="s">
        <v>47</v>
      </c>
      <c r="R15" s="45" t="s">
        <v>64</v>
      </c>
      <c r="S15" s="45" t="s">
        <v>165</v>
      </c>
      <c r="T15" s="45"/>
      <c r="U15" s="45" t="s">
        <v>63</v>
      </c>
      <c r="V15" s="45" t="s">
        <v>63</v>
      </c>
      <c r="W15" s="45" t="s">
        <v>64</v>
      </c>
      <c r="X15" s="45" t="s">
        <v>63</v>
      </c>
      <c r="Y15" s="45" t="s">
        <v>63</v>
      </c>
      <c r="Z15" s="45" t="s">
        <v>63</v>
      </c>
      <c r="AA15" s="45" t="s">
        <v>63</v>
      </c>
      <c r="AB15" s="45" t="s">
        <v>63</v>
      </c>
      <c r="AC15" s="68" t="s">
        <v>175</v>
      </c>
    </row>
    <row r="16" spans="1:29" s="15" customFormat="1" ht="36" x14ac:dyDescent="0.2">
      <c r="A16" s="67" t="s">
        <v>32</v>
      </c>
      <c r="B16" s="13" t="s">
        <v>37</v>
      </c>
      <c r="C16" s="13" t="s">
        <v>24</v>
      </c>
      <c r="D16" s="13" t="s">
        <v>38</v>
      </c>
      <c r="E16" s="13" t="s">
        <v>39</v>
      </c>
      <c r="F16" s="14">
        <v>42733</v>
      </c>
      <c r="G16" s="14">
        <v>42744</v>
      </c>
      <c r="H16" s="14">
        <v>43100</v>
      </c>
      <c r="I16" s="13" t="s">
        <v>16</v>
      </c>
      <c r="J16" s="13" t="s">
        <v>40</v>
      </c>
      <c r="K16" s="31">
        <v>120000</v>
      </c>
      <c r="L16" s="13" t="s">
        <v>20</v>
      </c>
      <c r="M16" s="46">
        <f t="shared" si="0"/>
        <v>120000</v>
      </c>
      <c r="N16" s="30">
        <f t="shared" si="1"/>
        <v>139200</v>
      </c>
      <c r="O16" s="13">
        <v>1323013</v>
      </c>
      <c r="P16" s="13">
        <v>1266806</v>
      </c>
      <c r="Q16" s="13" t="s">
        <v>47</v>
      </c>
      <c r="R16" s="45" t="s">
        <v>64</v>
      </c>
      <c r="S16" s="45">
        <v>22104</v>
      </c>
      <c r="T16" s="45"/>
      <c r="U16" s="45" t="s">
        <v>63</v>
      </c>
      <c r="V16" s="45" t="s">
        <v>63</v>
      </c>
      <c r="W16" s="45" t="s">
        <v>64</v>
      </c>
      <c r="X16" s="45" t="s">
        <v>63</v>
      </c>
      <c r="Y16" s="45" t="s">
        <v>63</v>
      </c>
      <c r="Z16" s="45" t="s">
        <v>63</v>
      </c>
      <c r="AA16" s="45" t="s">
        <v>63</v>
      </c>
      <c r="AB16" s="45" t="s">
        <v>63</v>
      </c>
      <c r="AC16" s="68" t="s">
        <v>175</v>
      </c>
    </row>
    <row r="17" spans="1:31" s="15" customFormat="1" ht="24" x14ac:dyDescent="0.2">
      <c r="A17" s="67" t="s">
        <v>65</v>
      </c>
      <c r="B17" s="13" t="s">
        <v>68</v>
      </c>
      <c r="C17" s="13" t="s">
        <v>66</v>
      </c>
      <c r="D17" s="13" t="s">
        <v>102</v>
      </c>
      <c r="E17" s="13" t="s">
        <v>103</v>
      </c>
      <c r="F17" s="14">
        <v>42761</v>
      </c>
      <c r="G17" s="14">
        <v>42767</v>
      </c>
      <c r="H17" s="14">
        <v>43100</v>
      </c>
      <c r="I17" s="13" t="s">
        <v>16</v>
      </c>
      <c r="J17" s="13" t="s">
        <v>98</v>
      </c>
      <c r="K17" s="31">
        <v>51300</v>
      </c>
      <c r="L17" s="13" t="s">
        <v>20</v>
      </c>
      <c r="M17" s="46">
        <f t="shared" si="0"/>
        <v>51300</v>
      </c>
      <c r="N17" s="30">
        <f t="shared" si="1"/>
        <v>59507.999999999993</v>
      </c>
      <c r="O17" s="13">
        <v>1332478</v>
      </c>
      <c r="P17" s="13">
        <v>1278236</v>
      </c>
      <c r="Q17" s="13" t="s">
        <v>101</v>
      </c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68" t="s">
        <v>175</v>
      </c>
    </row>
    <row r="18" spans="1:31" s="15" customFormat="1" ht="36" x14ac:dyDescent="0.2">
      <c r="A18" s="67" t="s">
        <v>76</v>
      </c>
      <c r="B18" s="13" t="s">
        <v>68</v>
      </c>
      <c r="C18" s="13" t="s">
        <v>99</v>
      </c>
      <c r="D18" s="13" t="s">
        <v>97</v>
      </c>
      <c r="E18" s="13" t="s">
        <v>100</v>
      </c>
      <c r="F18" s="14">
        <v>42768</v>
      </c>
      <c r="G18" s="14">
        <v>42736</v>
      </c>
      <c r="H18" s="14">
        <v>42825</v>
      </c>
      <c r="I18" s="13" t="s">
        <v>16</v>
      </c>
      <c r="J18" s="13" t="s">
        <v>98</v>
      </c>
      <c r="K18" s="31">
        <v>33707.879999999997</v>
      </c>
      <c r="L18" s="13" t="s">
        <v>20</v>
      </c>
      <c r="M18" s="46">
        <f t="shared" si="0"/>
        <v>33707.879999999997</v>
      </c>
      <c r="N18" s="30">
        <f>+K18</f>
        <v>33707.879999999997</v>
      </c>
      <c r="O18" s="13">
        <v>1341187</v>
      </c>
      <c r="P18" s="13">
        <v>1286050</v>
      </c>
      <c r="Q18" s="13" t="s">
        <v>101</v>
      </c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68" t="s">
        <v>176</v>
      </c>
    </row>
    <row r="19" spans="1:31" s="15" customFormat="1" ht="36" x14ac:dyDescent="0.2">
      <c r="A19" s="67" t="s">
        <v>77</v>
      </c>
      <c r="B19" s="13" t="s">
        <v>68</v>
      </c>
      <c r="C19" s="13" t="s">
        <v>96</v>
      </c>
      <c r="D19" s="13" t="s">
        <v>97</v>
      </c>
      <c r="E19" s="13" t="s">
        <v>100</v>
      </c>
      <c r="F19" s="14">
        <v>42768</v>
      </c>
      <c r="G19" s="14">
        <v>42736</v>
      </c>
      <c r="H19" s="14">
        <v>42825</v>
      </c>
      <c r="I19" s="13" t="s">
        <v>16</v>
      </c>
      <c r="J19" s="13" t="s">
        <v>98</v>
      </c>
      <c r="K19" s="31">
        <f>11235.96+(16853.93*2)</f>
        <v>44943.82</v>
      </c>
      <c r="L19" s="13" t="s">
        <v>20</v>
      </c>
      <c r="M19" s="46">
        <f t="shared" si="0"/>
        <v>44943.82</v>
      </c>
      <c r="N19" s="30">
        <f>+K19</f>
        <v>44943.82</v>
      </c>
      <c r="O19" s="13">
        <v>1341184</v>
      </c>
      <c r="P19" s="13">
        <v>1286050</v>
      </c>
      <c r="Q19" s="13" t="s">
        <v>101</v>
      </c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68" t="s">
        <v>176</v>
      </c>
    </row>
    <row r="20" spans="1:31" s="15" customFormat="1" ht="36" x14ac:dyDescent="0.2">
      <c r="A20" s="67" t="s">
        <v>78</v>
      </c>
      <c r="B20" s="13" t="s">
        <v>83</v>
      </c>
      <c r="C20" s="13" t="s">
        <v>82</v>
      </c>
      <c r="D20" s="13" t="s">
        <v>84</v>
      </c>
      <c r="E20" s="13" t="s">
        <v>86</v>
      </c>
      <c r="F20" s="14">
        <v>42793</v>
      </c>
      <c r="G20" s="14">
        <v>42794</v>
      </c>
      <c r="H20" s="14">
        <v>43101</v>
      </c>
      <c r="I20" s="13" t="s">
        <v>16</v>
      </c>
      <c r="J20" s="13" t="s">
        <v>85</v>
      </c>
      <c r="K20" s="31">
        <f>85.26/1.16</f>
        <v>73.500000000000014</v>
      </c>
      <c r="L20" s="13" t="s">
        <v>73</v>
      </c>
      <c r="M20" s="46" t="b">
        <f t="shared" si="0"/>
        <v>0</v>
      </c>
      <c r="N20" s="30">
        <f t="shared" ref="N20:N27" si="2">+K20*1.16</f>
        <v>85.26</v>
      </c>
      <c r="O20" s="13">
        <v>1341175</v>
      </c>
      <c r="P20" s="13">
        <v>1253497</v>
      </c>
      <c r="Q20" s="13" t="s">
        <v>95</v>
      </c>
      <c r="R20" s="45"/>
      <c r="S20" s="45"/>
      <c r="T20" s="45" t="s">
        <v>128</v>
      </c>
      <c r="U20" s="45" t="s">
        <v>63</v>
      </c>
      <c r="V20" s="45" t="s">
        <v>63</v>
      </c>
      <c r="W20" s="45" t="s">
        <v>114</v>
      </c>
      <c r="X20" s="45" t="s">
        <v>63</v>
      </c>
      <c r="Y20" s="45" t="s">
        <v>63</v>
      </c>
      <c r="Z20" s="45" t="s">
        <v>63</v>
      </c>
      <c r="AA20" s="45" t="s">
        <v>63</v>
      </c>
      <c r="AB20" s="45" t="s">
        <v>63</v>
      </c>
      <c r="AC20" s="68" t="s">
        <v>175</v>
      </c>
    </row>
    <row r="21" spans="1:31" s="15" customFormat="1" ht="24" x14ac:dyDescent="0.2">
      <c r="A21" s="67" t="s">
        <v>79</v>
      </c>
      <c r="B21" s="13" t="s">
        <v>83</v>
      </c>
      <c r="C21" s="13" t="s">
        <v>82</v>
      </c>
      <c r="D21" s="13" t="s">
        <v>87</v>
      </c>
      <c r="E21" s="13" t="s">
        <v>88</v>
      </c>
      <c r="F21" s="14">
        <v>42793</v>
      </c>
      <c r="G21" s="14">
        <v>42794</v>
      </c>
      <c r="H21" s="14">
        <v>43101</v>
      </c>
      <c r="I21" s="13" t="s">
        <v>16</v>
      </c>
      <c r="J21" s="13" t="s">
        <v>85</v>
      </c>
      <c r="K21" s="31">
        <f>19040.97/1.16</f>
        <v>16414.62931034483</v>
      </c>
      <c r="L21" s="13" t="s">
        <v>73</v>
      </c>
      <c r="M21" s="46" t="b">
        <f t="shared" si="0"/>
        <v>0</v>
      </c>
      <c r="N21" s="30">
        <f t="shared" si="2"/>
        <v>19040.97</v>
      </c>
      <c r="O21" s="13">
        <v>1341173</v>
      </c>
      <c r="P21" s="13">
        <v>1253497</v>
      </c>
      <c r="Q21" s="13" t="s">
        <v>95</v>
      </c>
      <c r="R21" s="45"/>
      <c r="S21" s="45"/>
      <c r="T21" s="45" t="s">
        <v>128</v>
      </c>
      <c r="U21" s="45" t="s">
        <v>63</v>
      </c>
      <c r="V21" s="45" t="s">
        <v>63</v>
      </c>
      <c r="W21" s="45" t="s">
        <v>114</v>
      </c>
      <c r="X21" s="45" t="s">
        <v>63</v>
      </c>
      <c r="Y21" s="45" t="s">
        <v>63</v>
      </c>
      <c r="Z21" s="45" t="s">
        <v>63</v>
      </c>
      <c r="AA21" s="45" t="s">
        <v>63</v>
      </c>
      <c r="AB21" s="45" t="s">
        <v>63</v>
      </c>
      <c r="AC21" s="68" t="s">
        <v>175</v>
      </c>
    </row>
    <row r="22" spans="1:31" s="15" customFormat="1" ht="36" x14ac:dyDescent="0.2">
      <c r="A22" s="67" t="s">
        <v>80</v>
      </c>
      <c r="B22" s="13" t="s">
        <v>83</v>
      </c>
      <c r="C22" s="13" t="s">
        <v>89</v>
      </c>
      <c r="D22" s="13" t="s">
        <v>90</v>
      </c>
      <c r="E22" s="13" t="s">
        <v>91</v>
      </c>
      <c r="F22" s="14">
        <v>42793</v>
      </c>
      <c r="G22" s="14">
        <v>42794</v>
      </c>
      <c r="H22" s="14">
        <v>43101</v>
      </c>
      <c r="I22" s="13" t="s">
        <v>16</v>
      </c>
      <c r="J22" s="13" t="s">
        <v>85</v>
      </c>
      <c r="K22" s="31">
        <f>2416781.28/1.16</f>
        <v>2083432.1379310344</v>
      </c>
      <c r="L22" s="13" t="s">
        <v>20</v>
      </c>
      <c r="M22" s="46">
        <f t="shared" si="0"/>
        <v>2083432.1379310344</v>
      </c>
      <c r="N22" s="30">
        <f t="shared" si="2"/>
        <v>2416781.2799999998</v>
      </c>
      <c r="O22" s="13">
        <v>1341164</v>
      </c>
      <c r="P22" s="13">
        <v>1253497</v>
      </c>
      <c r="Q22" s="13" t="s">
        <v>95</v>
      </c>
      <c r="R22" s="45"/>
      <c r="S22" s="45"/>
      <c r="T22" s="45"/>
      <c r="U22" s="45" t="s">
        <v>63</v>
      </c>
      <c r="V22" s="45"/>
      <c r="W22" s="45" t="s">
        <v>114</v>
      </c>
      <c r="X22" s="45" t="s">
        <v>63</v>
      </c>
      <c r="Y22" s="45" t="s">
        <v>63</v>
      </c>
      <c r="Z22" s="45" t="s">
        <v>63</v>
      </c>
      <c r="AA22" s="45" t="s">
        <v>63</v>
      </c>
      <c r="AB22" s="45" t="s">
        <v>63</v>
      </c>
      <c r="AC22" s="68" t="s">
        <v>175</v>
      </c>
    </row>
    <row r="23" spans="1:31" s="15" customFormat="1" ht="24" x14ac:dyDescent="0.2">
      <c r="A23" s="67" t="s">
        <v>81</v>
      </c>
      <c r="B23" s="13" t="s">
        <v>83</v>
      </c>
      <c r="C23" s="13" t="s">
        <v>92</v>
      </c>
      <c r="D23" s="13" t="s">
        <v>93</v>
      </c>
      <c r="E23" s="13" t="s">
        <v>94</v>
      </c>
      <c r="F23" s="14">
        <v>42793</v>
      </c>
      <c r="G23" s="14">
        <v>42794</v>
      </c>
      <c r="H23" s="14">
        <v>43101</v>
      </c>
      <c r="I23" s="13" t="s">
        <v>16</v>
      </c>
      <c r="J23" s="13" t="s">
        <v>85</v>
      </c>
      <c r="K23" s="31">
        <f>291273/1.16</f>
        <v>251097.41379310348</v>
      </c>
      <c r="L23" s="13" t="s">
        <v>20</v>
      </c>
      <c r="M23" s="46">
        <f t="shared" si="0"/>
        <v>251097.41379310348</v>
      </c>
      <c r="N23" s="30">
        <f t="shared" si="2"/>
        <v>291273</v>
      </c>
      <c r="O23" s="13">
        <v>1341170</v>
      </c>
      <c r="P23" s="13">
        <v>1253497</v>
      </c>
      <c r="Q23" s="13" t="s">
        <v>95</v>
      </c>
      <c r="R23" s="45"/>
      <c r="S23" s="45"/>
      <c r="T23" s="45"/>
      <c r="U23" s="45" t="s">
        <v>63</v>
      </c>
      <c r="V23" s="45"/>
      <c r="W23" s="45" t="s">
        <v>114</v>
      </c>
      <c r="X23" s="45" t="s">
        <v>63</v>
      </c>
      <c r="Y23" s="45" t="s">
        <v>63</v>
      </c>
      <c r="Z23" s="45" t="s">
        <v>63</v>
      </c>
      <c r="AA23" s="45" t="s">
        <v>63</v>
      </c>
      <c r="AB23" s="45" t="s">
        <v>63</v>
      </c>
      <c r="AC23" s="68" t="s">
        <v>175</v>
      </c>
    </row>
    <row r="24" spans="1:31" s="15" customFormat="1" ht="60" x14ac:dyDescent="0.2">
      <c r="A24" s="67" t="s">
        <v>104</v>
      </c>
      <c r="B24" s="13" t="s">
        <v>106</v>
      </c>
      <c r="C24" s="13" t="s">
        <v>107</v>
      </c>
      <c r="D24" s="13" t="s">
        <v>108</v>
      </c>
      <c r="E24" s="13" t="s">
        <v>166</v>
      </c>
      <c r="F24" s="14">
        <v>42793</v>
      </c>
      <c r="G24" s="14">
        <v>42795</v>
      </c>
      <c r="H24" s="14">
        <v>43524</v>
      </c>
      <c r="I24" s="13" t="s">
        <v>16</v>
      </c>
      <c r="J24" s="13" t="s">
        <v>85</v>
      </c>
      <c r="K24" s="31">
        <v>702153.2</v>
      </c>
      <c r="L24" s="13" t="s">
        <v>20</v>
      </c>
      <c r="M24" s="46">
        <f t="shared" si="0"/>
        <v>702153.2</v>
      </c>
      <c r="N24" s="30">
        <f t="shared" si="2"/>
        <v>814497.71199999994</v>
      </c>
      <c r="O24" s="13">
        <v>1341936</v>
      </c>
      <c r="P24" s="13">
        <v>1286569</v>
      </c>
      <c r="Q24" s="13" t="s">
        <v>95</v>
      </c>
      <c r="R24" s="45" t="s">
        <v>64</v>
      </c>
      <c r="S24" s="45">
        <v>35801</v>
      </c>
      <c r="T24" s="45"/>
      <c r="U24" s="45"/>
      <c r="V24" s="45" t="s">
        <v>63</v>
      </c>
      <c r="W24" s="45" t="s">
        <v>114</v>
      </c>
      <c r="X24" s="45" t="s">
        <v>63</v>
      </c>
      <c r="Y24" s="45" t="s">
        <v>63</v>
      </c>
      <c r="Z24" s="45" t="s">
        <v>63</v>
      </c>
      <c r="AA24" s="45" t="s">
        <v>63</v>
      </c>
      <c r="AB24" s="45" t="s">
        <v>63</v>
      </c>
      <c r="AC24" s="68" t="s">
        <v>175</v>
      </c>
      <c r="AE24" s="15">
        <f>1707492.32*1.16</f>
        <v>1980691.0911999999</v>
      </c>
    </row>
    <row r="25" spans="1:31" s="15" customFormat="1" ht="60" x14ac:dyDescent="0.2">
      <c r="A25" s="67" t="s">
        <v>105</v>
      </c>
      <c r="B25" s="13" t="s">
        <v>106</v>
      </c>
      <c r="C25" s="13" t="s">
        <v>110</v>
      </c>
      <c r="D25" s="13" t="s">
        <v>109</v>
      </c>
      <c r="E25" s="13" t="s">
        <v>169</v>
      </c>
      <c r="F25" s="14">
        <v>42793</v>
      </c>
      <c r="G25" s="14">
        <v>42795</v>
      </c>
      <c r="H25" s="14">
        <v>43524</v>
      </c>
      <c r="I25" s="13" t="s">
        <v>16</v>
      </c>
      <c r="J25" s="13" t="s">
        <v>85</v>
      </c>
      <c r="K25" s="31">
        <v>693714.24</v>
      </c>
      <c r="L25" s="13" t="s">
        <v>20</v>
      </c>
      <c r="M25" s="46">
        <f t="shared" si="0"/>
        <v>693714.24</v>
      </c>
      <c r="N25" s="30">
        <f t="shared" si="2"/>
        <v>804708.51839999994</v>
      </c>
      <c r="O25" s="13">
        <v>1341973</v>
      </c>
      <c r="P25" s="13">
        <v>1286569</v>
      </c>
      <c r="Q25" s="13" t="s">
        <v>95</v>
      </c>
      <c r="R25" s="45"/>
      <c r="S25" s="45"/>
      <c r="T25" s="45"/>
      <c r="U25" s="45" t="s">
        <v>63</v>
      </c>
      <c r="V25" s="45" t="s">
        <v>63</v>
      </c>
      <c r="W25" s="45" t="s">
        <v>114</v>
      </c>
      <c r="X25" s="45" t="s">
        <v>63</v>
      </c>
      <c r="Y25" s="45" t="s">
        <v>63</v>
      </c>
      <c r="Z25" s="45" t="s">
        <v>63</v>
      </c>
      <c r="AA25" s="45" t="s">
        <v>63</v>
      </c>
      <c r="AB25" s="45" t="s">
        <v>63</v>
      </c>
      <c r="AC25" s="68" t="s">
        <v>175</v>
      </c>
      <c r="AE25" s="15">
        <f>1654939.2*1.16</f>
        <v>1919729.4719999998</v>
      </c>
    </row>
    <row r="26" spans="1:31" s="15" customFormat="1" ht="36" x14ac:dyDescent="0.2">
      <c r="A26" s="67" t="s">
        <v>122</v>
      </c>
      <c r="B26" s="13" t="s">
        <v>68</v>
      </c>
      <c r="C26" s="13" t="s">
        <v>123</v>
      </c>
      <c r="D26" s="13" t="s">
        <v>124</v>
      </c>
      <c r="E26" s="13"/>
      <c r="F26" s="14">
        <v>42795</v>
      </c>
      <c r="G26" s="14">
        <v>42796</v>
      </c>
      <c r="H26" s="14">
        <v>42825</v>
      </c>
      <c r="I26" s="13" t="s">
        <v>16</v>
      </c>
      <c r="J26" s="13" t="s">
        <v>98</v>
      </c>
      <c r="K26" s="31">
        <f>8115.36/1.16</f>
        <v>6996</v>
      </c>
      <c r="L26" s="13" t="s">
        <v>73</v>
      </c>
      <c r="M26" s="46">
        <f>+K26*20</f>
        <v>139920</v>
      </c>
      <c r="N26" s="30">
        <f t="shared" si="2"/>
        <v>8115.36</v>
      </c>
      <c r="O26" s="13">
        <v>1354575</v>
      </c>
      <c r="P26" s="13">
        <v>1296341</v>
      </c>
      <c r="Q26" s="13" t="s">
        <v>101</v>
      </c>
      <c r="R26" s="45"/>
      <c r="S26" s="45">
        <v>35701</v>
      </c>
      <c r="T26" s="45"/>
      <c r="U26" s="45"/>
      <c r="V26" s="45"/>
      <c r="W26" s="45"/>
      <c r="X26" s="45"/>
      <c r="Y26" s="45"/>
      <c r="Z26" s="45"/>
      <c r="AA26" s="45"/>
      <c r="AB26" s="45"/>
      <c r="AC26" s="68" t="s">
        <v>175</v>
      </c>
    </row>
    <row r="27" spans="1:31" s="15" customFormat="1" ht="36" x14ac:dyDescent="0.2">
      <c r="A27" s="67" t="s">
        <v>125</v>
      </c>
      <c r="B27" s="13" t="s">
        <v>68</v>
      </c>
      <c r="C27" s="13" t="s">
        <v>152</v>
      </c>
      <c r="D27" s="13" t="s">
        <v>153</v>
      </c>
      <c r="E27" s="13"/>
      <c r="F27" s="14">
        <v>42795</v>
      </c>
      <c r="G27" s="14">
        <v>42795</v>
      </c>
      <c r="H27" s="14">
        <v>43100</v>
      </c>
      <c r="I27" s="13" t="s">
        <v>16</v>
      </c>
      <c r="J27" s="13" t="s">
        <v>98</v>
      </c>
      <c r="K27" s="31">
        <f>6000*10</f>
        <v>60000</v>
      </c>
      <c r="L27" s="13" t="s">
        <v>20</v>
      </c>
      <c r="M27" s="46">
        <f t="shared" ref="M27:M37" si="3">+K27</f>
        <v>60000</v>
      </c>
      <c r="N27" s="30">
        <f t="shared" si="2"/>
        <v>69600</v>
      </c>
      <c r="O27" s="13">
        <v>1362036</v>
      </c>
      <c r="P27" s="13">
        <v>1307692</v>
      </c>
      <c r="Q27" s="13" t="s">
        <v>101</v>
      </c>
      <c r="R27" s="45"/>
      <c r="S27" s="45">
        <v>33901</v>
      </c>
      <c r="T27" s="45"/>
      <c r="U27" s="45"/>
      <c r="V27" s="45"/>
      <c r="W27" s="45"/>
      <c r="X27" s="45"/>
      <c r="Y27" s="45"/>
      <c r="Z27" s="45"/>
      <c r="AA27" s="45"/>
      <c r="AB27" s="45"/>
      <c r="AC27" s="68" t="s">
        <v>175</v>
      </c>
    </row>
    <row r="28" spans="1:31" s="15" customFormat="1" ht="36" x14ac:dyDescent="0.2">
      <c r="A28" s="67" t="s">
        <v>126</v>
      </c>
      <c r="B28" s="13" t="s">
        <v>68</v>
      </c>
      <c r="C28" s="13" t="s">
        <v>154</v>
      </c>
      <c r="D28" s="13" t="s">
        <v>157</v>
      </c>
      <c r="E28" s="13" t="s">
        <v>236</v>
      </c>
      <c r="F28" s="14">
        <v>42797</v>
      </c>
      <c r="G28" s="14">
        <v>42736</v>
      </c>
      <c r="H28" s="14">
        <v>43100</v>
      </c>
      <c r="I28" s="13" t="s">
        <v>16</v>
      </c>
      <c r="J28" s="13" t="s">
        <v>98</v>
      </c>
      <c r="K28" s="31">
        <f>185066.4/1.16</f>
        <v>159540</v>
      </c>
      <c r="L28" s="13" t="s">
        <v>20</v>
      </c>
      <c r="M28" s="46">
        <f t="shared" si="3"/>
        <v>159540</v>
      </c>
      <c r="N28" s="30">
        <f>+M28*1.16</f>
        <v>185066.4</v>
      </c>
      <c r="O28" s="13">
        <v>1354460</v>
      </c>
      <c r="P28" s="13">
        <v>1296141</v>
      </c>
      <c r="Q28" s="13" t="s">
        <v>101</v>
      </c>
      <c r="R28" s="45"/>
      <c r="S28" s="45">
        <v>35201</v>
      </c>
      <c r="T28" s="45"/>
      <c r="U28" s="45"/>
      <c r="V28" s="45"/>
      <c r="W28" s="45"/>
      <c r="X28" s="45"/>
      <c r="Y28" s="45"/>
      <c r="Z28" s="45"/>
      <c r="AA28" s="45"/>
      <c r="AB28" s="45"/>
      <c r="AC28" s="68" t="s">
        <v>175</v>
      </c>
    </row>
    <row r="29" spans="1:31" s="15" customFormat="1" ht="36" x14ac:dyDescent="0.2">
      <c r="A29" s="67" t="s">
        <v>127</v>
      </c>
      <c r="B29" s="13" t="s">
        <v>68</v>
      </c>
      <c r="C29" s="13" t="s">
        <v>155</v>
      </c>
      <c r="D29" s="13" t="s">
        <v>156</v>
      </c>
      <c r="E29" s="13"/>
      <c r="F29" s="14">
        <v>42797</v>
      </c>
      <c r="G29" s="14">
        <v>42795</v>
      </c>
      <c r="H29" s="14">
        <v>43100</v>
      </c>
      <c r="I29" s="13" t="s">
        <v>16</v>
      </c>
      <c r="J29" s="13" t="s">
        <v>98</v>
      </c>
      <c r="K29" s="31">
        <f>56840/1.16</f>
        <v>49000</v>
      </c>
      <c r="L29" s="13" t="s">
        <v>20</v>
      </c>
      <c r="M29" s="46">
        <f t="shared" si="3"/>
        <v>49000</v>
      </c>
      <c r="N29" s="30">
        <f>+K29*1.16</f>
        <v>56839.999999999993</v>
      </c>
      <c r="O29" s="13">
        <v>1354425</v>
      </c>
      <c r="P29" s="13">
        <v>1296141</v>
      </c>
      <c r="Q29" s="13" t="s">
        <v>101</v>
      </c>
      <c r="R29" s="45"/>
      <c r="S29" s="45">
        <v>35201</v>
      </c>
      <c r="T29" s="45"/>
      <c r="U29" s="45"/>
      <c r="V29" s="45"/>
      <c r="W29" s="45"/>
      <c r="X29" s="45"/>
      <c r="Y29" s="45"/>
      <c r="Z29" s="45"/>
      <c r="AA29" s="45"/>
      <c r="AB29" s="45"/>
      <c r="AC29" s="68" t="s">
        <v>176</v>
      </c>
    </row>
    <row r="30" spans="1:31" s="15" customFormat="1" ht="24" x14ac:dyDescent="0.2">
      <c r="A30" s="67" t="s">
        <v>148</v>
      </c>
      <c r="B30" s="13" t="s">
        <v>68</v>
      </c>
      <c r="C30" s="13" t="s">
        <v>149</v>
      </c>
      <c r="D30" s="13" t="s">
        <v>150</v>
      </c>
      <c r="E30" s="13" t="s">
        <v>237</v>
      </c>
      <c r="F30" s="14">
        <v>42803</v>
      </c>
      <c r="G30" s="14">
        <v>42803</v>
      </c>
      <c r="H30" s="14">
        <v>43008</v>
      </c>
      <c r="I30" s="13" t="s">
        <v>16</v>
      </c>
      <c r="J30" s="13" t="s">
        <v>98</v>
      </c>
      <c r="K30" s="31">
        <f>53704.33/1.16</f>
        <v>46296.836206896558</v>
      </c>
      <c r="L30" s="13" t="s">
        <v>20</v>
      </c>
      <c r="M30" s="46">
        <f t="shared" si="3"/>
        <v>46296.836206896558</v>
      </c>
      <c r="N30" s="30">
        <f t="shared" ref="N30:N37" si="4">+M30*1.16</f>
        <v>53704.33</v>
      </c>
      <c r="O30" s="13">
        <v>1362057</v>
      </c>
      <c r="P30" s="13">
        <v>1307725</v>
      </c>
      <c r="Q30" s="13" t="s">
        <v>101</v>
      </c>
      <c r="R30" s="45" t="s">
        <v>151</v>
      </c>
      <c r="S30" s="45">
        <v>35701</v>
      </c>
      <c r="T30" s="45"/>
      <c r="U30" s="45"/>
      <c r="V30" s="45"/>
      <c r="W30" s="45"/>
      <c r="X30" s="45"/>
      <c r="Y30" s="45"/>
      <c r="Z30" s="45"/>
      <c r="AA30" s="45"/>
      <c r="AB30" s="45"/>
      <c r="AC30" s="68" t="s">
        <v>176</v>
      </c>
    </row>
    <row r="31" spans="1:31" s="15" customFormat="1" ht="36" x14ac:dyDescent="0.2">
      <c r="A31" s="67" t="s">
        <v>144</v>
      </c>
      <c r="B31" s="13" t="s">
        <v>68</v>
      </c>
      <c r="C31" s="13" t="s">
        <v>145</v>
      </c>
      <c r="D31" s="13" t="s">
        <v>146</v>
      </c>
      <c r="E31" s="13"/>
      <c r="F31" s="14">
        <v>42804</v>
      </c>
      <c r="G31" s="14">
        <v>42804</v>
      </c>
      <c r="H31" s="14">
        <v>43100</v>
      </c>
      <c r="I31" s="13" t="s">
        <v>16</v>
      </c>
      <c r="J31" s="13" t="s">
        <v>98</v>
      </c>
      <c r="K31" s="31">
        <f>55053.6/1.16</f>
        <v>47460</v>
      </c>
      <c r="L31" s="13" t="s">
        <v>20</v>
      </c>
      <c r="M31" s="46">
        <f t="shared" si="3"/>
        <v>47460</v>
      </c>
      <c r="N31" s="30">
        <f t="shared" si="4"/>
        <v>55053.599999999999</v>
      </c>
      <c r="O31" s="13">
        <v>1362137</v>
      </c>
      <c r="P31" s="13">
        <v>307774</v>
      </c>
      <c r="Q31" s="13" t="s">
        <v>101</v>
      </c>
      <c r="R31" s="45" t="s">
        <v>147</v>
      </c>
      <c r="S31" s="45">
        <v>35701</v>
      </c>
      <c r="T31" s="45"/>
      <c r="U31" s="45"/>
      <c r="V31" s="45"/>
      <c r="W31" s="45"/>
      <c r="X31" s="45"/>
      <c r="Y31" s="45"/>
      <c r="Z31" s="45"/>
      <c r="AA31" s="45"/>
      <c r="AB31" s="45"/>
      <c r="AC31" s="68" t="s">
        <v>176</v>
      </c>
    </row>
    <row r="32" spans="1:31" s="15" customFormat="1" ht="24" x14ac:dyDescent="0.2">
      <c r="A32" s="67" t="s">
        <v>134</v>
      </c>
      <c r="B32" s="13" t="s">
        <v>68</v>
      </c>
      <c r="C32" s="13" t="s">
        <v>135</v>
      </c>
      <c r="D32" s="13" t="s">
        <v>136</v>
      </c>
      <c r="E32" s="13"/>
      <c r="F32" s="14">
        <v>42809</v>
      </c>
      <c r="G32" s="14">
        <v>42809</v>
      </c>
      <c r="H32" s="14">
        <v>43089</v>
      </c>
      <c r="I32" s="13" t="s">
        <v>16</v>
      </c>
      <c r="J32" s="13" t="s">
        <v>98</v>
      </c>
      <c r="K32" s="31">
        <f>35090/1.16</f>
        <v>30250.000000000004</v>
      </c>
      <c r="L32" s="13" t="s">
        <v>20</v>
      </c>
      <c r="M32" s="46">
        <f t="shared" si="3"/>
        <v>30250.000000000004</v>
      </c>
      <c r="N32" s="30">
        <f t="shared" si="4"/>
        <v>35090</v>
      </c>
      <c r="O32" s="13">
        <v>1362017</v>
      </c>
      <c r="P32" s="13">
        <v>1307666</v>
      </c>
      <c r="Q32" s="13" t="s">
        <v>101</v>
      </c>
      <c r="R32" s="45" t="s">
        <v>139</v>
      </c>
      <c r="S32" s="45">
        <v>35201</v>
      </c>
      <c r="T32" s="45"/>
      <c r="U32" s="45"/>
      <c r="V32" s="45"/>
      <c r="W32" s="45"/>
      <c r="X32" s="45"/>
      <c r="Y32" s="45"/>
      <c r="Z32" s="45"/>
      <c r="AA32" s="45"/>
      <c r="AB32" s="45"/>
      <c r="AC32" s="68" t="s">
        <v>176</v>
      </c>
    </row>
    <row r="33" spans="1:31" s="15" customFormat="1" ht="24" x14ac:dyDescent="0.2">
      <c r="A33" s="67" t="s">
        <v>231</v>
      </c>
      <c r="B33" s="13" t="s">
        <v>68</v>
      </c>
      <c r="C33" s="13" t="s">
        <v>132</v>
      </c>
      <c r="D33" s="13" t="s">
        <v>242</v>
      </c>
      <c r="E33" s="13"/>
      <c r="F33" s="14">
        <v>42844</v>
      </c>
      <c r="G33" s="14">
        <v>42849</v>
      </c>
      <c r="H33" s="14">
        <v>43087</v>
      </c>
      <c r="I33" s="13" t="s">
        <v>16</v>
      </c>
      <c r="J33" s="13" t="s">
        <v>98</v>
      </c>
      <c r="K33" s="31">
        <v>10000</v>
      </c>
      <c r="L33" s="13" t="s">
        <v>20</v>
      </c>
      <c r="M33" s="46">
        <f t="shared" si="3"/>
        <v>10000</v>
      </c>
      <c r="N33" s="30">
        <f t="shared" si="4"/>
        <v>11600</v>
      </c>
      <c r="O33" s="13">
        <v>1404840</v>
      </c>
      <c r="P33" s="13">
        <v>1342982</v>
      </c>
      <c r="Q33" s="13" t="s">
        <v>101</v>
      </c>
      <c r="R33" s="45" t="s">
        <v>64</v>
      </c>
      <c r="S33" s="45">
        <v>22104</v>
      </c>
      <c r="T33" s="45"/>
      <c r="U33" s="45"/>
      <c r="V33" s="45"/>
      <c r="W33" s="45"/>
      <c r="X33" s="45"/>
      <c r="Y33" s="45"/>
      <c r="Z33" s="45"/>
      <c r="AA33" s="45"/>
      <c r="AB33" s="45"/>
      <c r="AC33" s="68"/>
    </row>
    <row r="34" spans="1:31" s="15" customFormat="1" ht="24" x14ac:dyDescent="0.2">
      <c r="A34" s="67" t="s">
        <v>158</v>
      </c>
      <c r="B34" s="13" t="s">
        <v>68</v>
      </c>
      <c r="C34" s="13" t="s">
        <v>161</v>
      </c>
      <c r="D34" s="13" t="s">
        <v>162</v>
      </c>
      <c r="E34" s="13"/>
      <c r="F34" s="14">
        <v>42817</v>
      </c>
      <c r="G34" s="14">
        <v>42817</v>
      </c>
      <c r="H34" s="14">
        <v>42521</v>
      </c>
      <c r="I34" s="13" t="s">
        <v>16</v>
      </c>
      <c r="J34" s="13" t="s">
        <v>98</v>
      </c>
      <c r="K34" s="31">
        <f>33060/1.16</f>
        <v>28500.000000000004</v>
      </c>
      <c r="L34" s="13" t="s">
        <v>20</v>
      </c>
      <c r="M34" s="46">
        <f t="shared" si="3"/>
        <v>28500.000000000004</v>
      </c>
      <c r="N34" s="30">
        <f t="shared" si="4"/>
        <v>33060</v>
      </c>
      <c r="O34" s="13">
        <v>1387757</v>
      </c>
      <c r="P34" s="13">
        <v>1327682</v>
      </c>
      <c r="Q34" s="13" t="s">
        <v>235</v>
      </c>
      <c r="R34" s="45" t="s">
        <v>232</v>
      </c>
      <c r="S34" s="45">
        <v>33901</v>
      </c>
      <c r="T34" s="45" t="s">
        <v>233</v>
      </c>
      <c r="U34" s="45" t="s">
        <v>63</v>
      </c>
      <c r="V34" s="45" t="s">
        <v>234</v>
      </c>
      <c r="W34" s="45" t="s">
        <v>234</v>
      </c>
      <c r="X34" s="45" t="s">
        <v>234</v>
      </c>
      <c r="Y34" s="45" t="s">
        <v>234</v>
      </c>
      <c r="Z34" s="45" t="s">
        <v>63</v>
      </c>
      <c r="AA34" s="45" t="s">
        <v>63</v>
      </c>
      <c r="AB34" s="45" t="s">
        <v>63</v>
      </c>
      <c r="AC34" s="68" t="s">
        <v>176</v>
      </c>
      <c r="AD34" s="15" t="s">
        <v>177</v>
      </c>
      <c r="AE34" s="15" t="s">
        <v>176</v>
      </c>
    </row>
    <row r="35" spans="1:31" s="15" customFormat="1" ht="36" x14ac:dyDescent="0.2">
      <c r="A35" s="67" t="s">
        <v>160</v>
      </c>
      <c r="B35" s="13" t="s">
        <v>68</v>
      </c>
      <c r="C35" s="13" t="s">
        <v>132</v>
      </c>
      <c r="D35" s="13" t="s">
        <v>133</v>
      </c>
      <c r="E35" s="13"/>
      <c r="F35" s="14">
        <v>42815</v>
      </c>
      <c r="G35" s="14">
        <v>42815</v>
      </c>
      <c r="H35" s="14">
        <v>42873</v>
      </c>
      <c r="I35" s="13" t="s">
        <v>16</v>
      </c>
      <c r="J35" s="13" t="s">
        <v>98</v>
      </c>
      <c r="K35" s="31">
        <f>91640/1.16</f>
        <v>79000</v>
      </c>
      <c r="L35" s="13" t="s">
        <v>20</v>
      </c>
      <c r="M35" s="46">
        <f t="shared" si="3"/>
        <v>79000</v>
      </c>
      <c r="N35" s="30">
        <f t="shared" si="4"/>
        <v>91640</v>
      </c>
      <c r="O35" s="13">
        <v>1387709</v>
      </c>
      <c r="P35" s="13">
        <v>1327664</v>
      </c>
      <c r="Q35" s="13" t="s">
        <v>101</v>
      </c>
      <c r="R35" s="45" t="s">
        <v>159</v>
      </c>
      <c r="S35" s="45">
        <v>38301</v>
      </c>
      <c r="T35" s="45"/>
      <c r="U35" s="45"/>
      <c r="V35" s="45"/>
      <c r="W35" s="45"/>
      <c r="X35" s="45"/>
      <c r="Y35" s="45"/>
      <c r="Z35" s="45"/>
      <c r="AA35" s="45"/>
      <c r="AB35" s="45"/>
      <c r="AC35" s="68" t="s">
        <v>176</v>
      </c>
    </row>
    <row r="36" spans="1:31" s="15" customFormat="1" ht="24.75" thickBot="1" x14ac:dyDescent="0.25">
      <c r="A36" s="69" t="s">
        <v>167</v>
      </c>
      <c r="B36" s="70" t="s">
        <v>68</v>
      </c>
      <c r="C36" s="70" t="s">
        <v>129</v>
      </c>
      <c r="D36" s="70" t="s">
        <v>130</v>
      </c>
      <c r="E36" s="70"/>
      <c r="F36" s="71">
        <v>42821</v>
      </c>
      <c r="G36" s="71">
        <v>42821</v>
      </c>
      <c r="H36" s="71">
        <v>42881</v>
      </c>
      <c r="I36" s="70" t="s">
        <v>16</v>
      </c>
      <c r="J36" s="70" t="s">
        <v>98</v>
      </c>
      <c r="K36" s="72">
        <f>39362.36/1.16</f>
        <v>33933.068965517246</v>
      </c>
      <c r="L36" s="70" t="s">
        <v>20</v>
      </c>
      <c r="M36" s="73">
        <f t="shared" si="3"/>
        <v>33933.068965517246</v>
      </c>
      <c r="N36" s="74">
        <f t="shared" si="4"/>
        <v>39362.36</v>
      </c>
      <c r="O36" s="70">
        <v>1387844</v>
      </c>
      <c r="P36" s="70">
        <v>1327795</v>
      </c>
      <c r="Q36" s="70" t="s">
        <v>131</v>
      </c>
      <c r="R36" s="75" t="s">
        <v>168</v>
      </c>
      <c r="S36" s="75">
        <v>25501</v>
      </c>
      <c r="T36" s="75"/>
      <c r="U36" s="75"/>
      <c r="V36" s="75"/>
      <c r="W36" s="75"/>
      <c r="X36" s="75"/>
      <c r="Y36" s="75"/>
      <c r="Z36" s="75"/>
      <c r="AA36" s="75"/>
      <c r="AB36" s="75"/>
      <c r="AC36" s="76" t="s">
        <v>175</v>
      </c>
      <c r="AD36" s="15">
        <f>COUNTIF(AC12:AC36,"SI")</f>
        <v>16</v>
      </c>
      <c r="AE36" s="15">
        <f>COUNTIF(AC12:AC36,"NO")</f>
        <v>8</v>
      </c>
    </row>
    <row r="37" spans="1:31" s="15" customFormat="1" ht="24" x14ac:dyDescent="0.2">
      <c r="A37" s="59" t="s">
        <v>171</v>
      </c>
      <c r="B37" s="60" t="s">
        <v>68</v>
      </c>
      <c r="C37" s="60" t="s">
        <v>172</v>
      </c>
      <c r="D37" s="60" t="s">
        <v>173</v>
      </c>
      <c r="E37" s="60"/>
      <c r="F37" s="61">
        <v>42829</v>
      </c>
      <c r="G37" s="61">
        <v>42829</v>
      </c>
      <c r="H37" s="61">
        <v>42846</v>
      </c>
      <c r="I37" s="60" t="s">
        <v>16</v>
      </c>
      <c r="J37" s="60" t="s">
        <v>98</v>
      </c>
      <c r="K37" s="62">
        <f>104926.64/1.16</f>
        <v>90454</v>
      </c>
      <c r="L37" s="60" t="s">
        <v>20</v>
      </c>
      <c r="M37" s="63">
        <f t="shared" si="3"/>
        <v>90454</v>
      </c>
      <c r="N37" s="64">
        <f t="shared" si="4"/>
        <v>104926.64</v>
      </c>
      <c r="O37" s="60">
        <v>1387872</v>
      </c>
      <c r="P37" s="60">
        <v>1327822</v>
      </c>
      <c r="Q37" s="60" t="s">
        <v>101</v>
      </c>
      <c r="R37" s="65" t="s">
        <v>238</v>
      </c>
      <c r="S37" s="65">
        <v>22104</v>
      </c>
      <c r="T37" s="65"/>
      <c r="U37" s="65"/>
      <c r="V37" s="65"/>
      <c r="W37" s="65"/>
      <c r="X37" s="65"/>
      <c r="Y37" s="65"/>
      <c r="Z37" s="65"/>
      <c r="AA37" s="65"/>
      <c r="AB37" s="65"/>
      <c r="AC37" s="66" t="s">
        <v>176</v>
      </c>
    </row>
    <row r="38" spans="1:31" s="15" customFormat="1" ht="60" x14ac:dyDescent="0.2">
      <c r="A38" s="67" t="s">
        <v>243</v>
      </c>
      <c r="B38" s="13" t="s">
        <v>271</v>
      </c>
      <c r="C38" s="13" t="s">
        <v>66</v>
      </c>
      <c r="D38" s="13" t="s">
        <v>270</v>
      </c>
      <c r="E38" s="13" t="s">
        <v>272</v>
      </c>
      <c r="F38" s="14">
        <v>42866</v>
      </c>
      <c r="G38" s="14">
        <v>42900</v>
      </c>
      <c r="H38" s="14">
        <v>44726</v>
      </c>
      <c r="I38" s="13" t="s">
        <v>16</v>
      </c>
      <c r="J38" s="13" t="s">
        <v>85</v>
      </c>
      <c r="K38" s="31">
        <v>191995.07</v>
      </c>
      <c r="L38" s="13" t="s">
        <v>20</v>
      </c>
      <c r="M38" s="46"/>
      <c r="N38" s="30"/>
      <c r="O38" s="13">
        <v>1418941</v>
      </c>
      <c r="P38" s="13">
        <v>1305463</v>
      </c>
      <c r="Q38" s="13" t="s">
        <v>277</v>
      </c>
      <c r="R38" s="45" t="s">
        <v>139</v>
      </c>
      <c r="S38" s="45">
        <v>32301</v>
      </c>
      <c r="T38" s="45" t="s">
        <v>63</v>
      </c>
      <c r="U38" s="45" t="s">
        <v>63</v>
      </c>
      <c r="V38" s="45"/>
      <c r="W38" s="45" t="s">
        <v>234</v>
      </c>
      <c r="X38" s="45" t="s">
        <v>63</v>
      </c>
      <c r="Y38" s="45" t="s">
        <v>63</v>
      </c>
      <c r="Z38" s="45" t="s">
        <v>63</v>
      </c>
      <c r="AA38" s="45" t="s">
        <v>63</v>
      </c>
      <c r="AB38" s="45" t="s">
        <v>63</v>
      </c>
      <c r="AC38" s="68" t="s">
        <v>175</v>
      </c>
    </row>
    <row r="39" spans="1:31" s="15" customFormat="1" ht="24" x14ac:dyDescent="0.2">
      <c r="A39" s="67" t="s">
        <v>273</v>
      </c>
      <c r="B39" s="13" t="s">
        <v>68</v>
      </c>
      <c r="C39" s="13" t="s">
        <v>99</v>
      </c>
      <c r="D39" s="13" t="s">
        <v>97</v>
      </c>
      <c r="E39" s="13"/>
      <c r="F39" s="14">
        <v>42885</v>
      </c>
      <c r="G39" s="14">
        <v>42826</v>
      </c>
      <c r="H39" s="14">
        <v>43069</v>
      </c>
      <c r="I39" s="13" t="s">
        <v>16</v>
      </c>
      <c r="J39" s="13" t="s">
        <v>98</v>
      </c>
      <c r="K39" s="31">
        <v>89887.679999999993</v>
      </c>
      <c r="L39" s="13" t="s">
        <v>20</v>
      </c>
      <c r="M39" s="46"/>
      <c r="N39" s="30"/>
      <c r="O39" s="13">
        <v>1444121</v>
      </c>
      <c r="P39" s="13">
        <v>1376589</v>
      </c>
      <c r="Q39" s="13" t="s">
        <v>101</v>
      </c>
      <c r="R39" s="45" t="s">
        <v>139</v>
      </c>
      <c r="S39" s="45">
        <v>33901</v>
      </c>
      <c r="T39" s="45" t="s">
        <v>275</v>
      </c>
      <c r="U39" s="45" t="s">
        <v>63</v>
      </c>
      <c r="V39" s="45" t="s">
        <v>234</v>
      </c>
      <c r="W39" s="45" t="s">
        <v>234</v>
      </c>
      <c r="X39" s="45" t="s">
        <v>234</v>
      </c>
      <c r="Y39" s="45" t="s">
        <v>234</v>
      </c>
      <c r="Z39" s="45" t="s">
        <v>63</v>
      </c>
      <c r="AA39" s="45" t="s">
        <v>63</v>
      </c>
      <c r="AB39" s="45" t="s">
        <v>63</v>
      </c>
      <c r="AC39" s="68" t="s">
        <v>176</v>
      </c>
    </row>
    <row r="40" spans="1:31" s="15" customFormat="1" ht="24" x14ac:dyDescent="0.2">
      <c r="A40" s="67" t="s">
        <v>274</v>
      </c>
      <c r="B40" s="13" t="s">
        <v>68</v>
      </c>
      <c r="C40" s="13" t="s">
        <v>96</v>
      </c>
      <c r="D40" s="13" t="s">
        <v>97</v>
      </c>
      <c r="E40" s="13"/>
      <c r="F40" s="14">
        <v>42885</v>
      </c>
      <c r="G40" s="14">
        <v>42826</v>
      </c>
      <c r="H40" s="14">
        <v>43069</v>
      </c>
      <c r="I40" s="13" t="s">
        <v>16</v>
      </c>
      <c r="J40" s="13" t="s">
        <v>98</v>
      </c>
      <c r="K40" s="31">
        <v>134831.44</v>
      </c>
      <c r="L40" s="13" t="s">
        <v>20</v>
      </c>
      <c r="M40" s="46"/>
      <c r="N40" s="30"/>
      <c r="O40" s="13">
        <v>1444303</v>
      </c>
      <c r="P40" s="13">
        <v>1376646</v>
      </c>
      <c r="Q40" s="13" t="s">
        <v>101</v>
      </c>
      <c r="R40" s="45" t="s">
        <v>139</v>
      </c>
      <c r="S40" s="45">
        <v>33901</v>
      </c>
      <c r="T40" s="45" t="s">
        <v>275</v>
      </c>
      <c r="U40" s="45" t="s">
        <v>63</v>
      </c>
      <c r="V40" s="45" t="s">
        <v>234</v>
      </c>
      <c r="W40" s="45" t="s">
        <v>234</v>
      </c>
      <c r="X40" s="45" t="s">
        <v>234</v>
      </c>
      <c r="Y40" s="45" t="s">
        <v>234</v>
      </c>
      <c r="Z40" s="45" t="s">
        <v>63</v>
      </c>
      <c r="AA40" s="45" t="s">
        <v>63</v>
      </c>
      <c r="AB40" s="45" t="s">
        <v>63</v>
      </c>
      <c r="AC40" s="68" t="s">
        <v>176</v>
      </c>
    </row>
    <row r="41" spans="1:31" s="15" customFormat="1" ht="24.75" thickBot="1" x14ac:dyDescent="0.25">
      <c r="A41" s="69" t="s">
        <v>276</v>
      </c>
      <c r="B41" s="70" t="s">
        <v>68</v>
      </c>
      <c r="C41" s="70" t="s">
        <v>154</v>
      </c>
      <c r="D41" s="70" t="s">
        <v>244</v>
      </c>
      <c r="E41" s="70"/>
      <c r="F41" s="71">
        <v>42886</v>
      </c>
      <c r="G41" s="71">
        <v>42886</v>
      </c>
      <c r="H41" s="71">
        <v>42900</v>
      </c>
      <c r="I41" s="70" t="s">
        <v>16</v>
      </c>
      <c r="J41" s="70" t="s">
        <v>98</v>
      </c>
      <c r="K41" s="72">
        <v>106230</v>
      </c>
      <c r="L41" s="70" t="s">
        <v>20</v>
      </c>
      <c r="M41" s="73"/>
      <c r="N41" s="74"/>
      <c r="O41" s="70">
        <v>1450993</v>
      </c>
      <c r="P41" s="70">
        <v>1382132</v>
      </c>
      <c r="Q41" s="70" t="s">
        <v>101</v>
      </c>
      <c r="R41" s="75"/>
      <c r="S41" s="75">
        <v>35701</v>
      </c>
      <c r="T41" s="75"/>
      <c r="U41" s="75"/>
      <c r="V41" s="75"/>
      <c r="W41" s="75"/>
      <c r="X41" s="75"/>
      <c r="Y41" s="75"/>
      <c r="Z41" s="75"/>
      <c r="AA41" s="75"/>
      <c r="AB41" s="75"/>
      <c r="AC41" s="76" t="s">
        <v>176</v>
      </c>
    </row>
    <row r="42" spans="1:31" s="15" customFormat="1" ht="24.75" thickBot="1" x14ac:dyDescent="0.25">
      <c r="A42" s="77" t="s">
        <v>289</v>
      </c>
      <c r="B42" s="78" t="s">
        <v>68</v>
      </c>
      <c r="C42" s="78" t="s">
        <v>290</v>
      </c>
      <c r="D42" s="78" t="s">
        <v>306</v>
      </c>
      <c r="E42" s="78"/>
      <c r="F42" s="79">
        <v>42919</v>
      </c>
      <c r="G42" s="79">
        <v>42919</v>
      </c>
      <c r="H42" s="79">
        <v>42962</v>
      </c>
      <c r="I42" s="78" t="s">
        <v>16</v>
      </c>
      <c r="J42" s="78" t="s">
        <v>98</v>
      </c>
      <c r="K42" s="80">
        <f>237540/1.16</f>
        <v>204775.86206896554</v>
      </c>
      <c r="L42" s="78" t="s">
        <v>20</v>
      </c>
      <c r="M42" s="81"/>
      <c r="N42" s="82"/>
      <c r="O42" s="78">
        <v>1532314</v>
      </c>
      <c r="P42" s="78">
        <v>1452404</v>
      </c>
      <c r="Q42" s="78" t="s">
        <v>101</v>
      </c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4"/>
    </row>
    <row r="43" spans="1:31" s="15" customFormat="1" ht="24.75" thickBot="1" x14ac:dyDescent="0.25">
      <c r="A43" s="77" t="s">
        <v>319</v>
      </c>
      <c r="B43" s="78" t="s">
        <v>322</v>
      </c>
      <c r="C43" s="78" t="s">
        <v>320</v>
      </c>
      <c r="D43" s="78" t="s">
        <v>321</v>
      </c>
      <c r="E43" s="78"/>
      <c r="F43" s="79">
        <v>42954</v>
      </c>
      <c r="G43" s="79">
        <v>42954</v>
      </c>
      <c r="H43" s="79">
        <v>42983</v>
      </c>
      <c r="I43" s="78" t="s">
        <v>16</v>
      </c>
      <c r="J43" s="78" t="s">
        <v>85</v>
      </c>
      <c r="K43" s="80">
        <f>3855620.81/1.16</f>
        <v>3323811.0431034486</v>
      </c>
      <c r="L43" s="78" t="s">
        <v>20</v>
      </c>
      <c r="M43" s="81"/>
      <c r="N43" s="82"/>
      <c r="O43" s="78">
        <v>1532199</v>
      </c>
      <c r="P43" s="78">
        <v>1419638</v>
      </c>
      <c r="Q43" s="78" t="s">
        <v>323</v>
      </c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4"/>
    </row>
    <row r="44" spans="1:31" s="15" customFormat="1" x14ac:dyDescent="0.2">
      <c r="A44" s="53"/>
      <c r="B44" s="53"/>
      <c r="C44" s="53"/>
      <c r="D44" s="53"/>
      <c r="E44" s="53"/>
      <c r="F44" s="54"/>
      <c r="G44" s="54"/>
      <c r="H44" s="54"/>
      <c r="I44" s="53"/>
      <c r="J44" s="53"/>
      <c r="K44" s="55"/>
      <c r="L44" s="53"/>
      <c r="M44" s="56"/>
      <c r="N44" s="57"/>
      <c r="O44" s="53"/>
      <c r="P44" s="53"/>
      <c r="Q44" s="53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</row>
    <row r="45" spans="1:31" s="15" customFormat="1" x14ac:dyDescent="0.2">
      <c r="A45" s="13"/>
      <c r="B45" s="13"/>
      <c r="C45" s="13"/>
      <c r="D45" s="13"/>
      <c r="E45" s="13"/>
      <c r="F45" s="14"/>
      <c r="G45" s="14"/>
      <c r="H45" s="14"/>
      <c r="I45" s="13"/>
      <c r="J45" s="13"/>
      <c r="K45" s="31"/>
      <c r="L45" s="13"/>
      <c r="M45" s="46"/>
      <c r="N45" s="30"/>
      <c r="O45" s="13"/>
      <c r="P45" s="13"/>
      <c r="Q45" s="13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31" s="15" customFormat="1" x14ac:dyDescent="0.2">
      <c r="A46" s="13"/>
      <c r="B46" s="13"/>
      <c r="C46" s="13"/>
      <c r="D46" s="13"/>
      <c r="E46" s="13"/>
      <c r="F46" s="14"/>
      <c r="G46" s="14"/>
      <c r="H46" s="14"/>
      <c r="I46" s="13"/>
      <c r="J46" s="13"/>
      <c r="K46" s="31"/>
      <c r="L46" s="13"/>
      <c r="M46" s="46"/>
      <c r="N46" s="30"/>
      <c r="O46" s="13"/>
      <c r="P46" s="13"/>
      <c r="Q46" s="13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31" s="15" customFormat="1" x14ac:dyDescent="0.2">
      <c r="A47" s="13"/>
      <c r="B47" s="13"/>
      <c r="C47" s="13"/>
      <c r="D47" s="13"/>
      <c r="E47" s="13"/>
      <c r="F47" s="14"/>
      <c r="G47" s="14"/>
      <c r="H47" s="14"/>
      <c r="I47" s="13"/>
      <c r="J47" s="13"/>
      <c r="K47" s="31"/>
      <c r="L47" s="13"/>
      <c r="M47" s="46"/>
      <c r="N47" s="30"/>
      <c r="O47" s="13"/>
      <c r="P47" s="13"/>
      <c r="Q47" s="13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  <row r="48" spans="1:31" s="15" customFormat="1" x14ac:dyDescent="0.2">
      <c r="A48" s="13"/>
      <c r="B48" s="13"/>
      <c r="C48" s="13"/>
      <c r="D48" s="13"/>
      <c r="E48" s="13"/>
      <c r="F48" s="14"/>
      <c r="G48" s="14"/>
      <c r="H48" s="14"/>
      <c r="I48" s="13"/>
      <c r="J48" s="13"/>
      <c r="K48" s="31"/>
      <c r="L48" s="13"/>
      <c r="M48" s="46"/>
      <c r="N48" s="30"/>
      <c r="O48" s="13"/>
      <c r="P48" s="13"/>
      <c r="Q48" s="13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</row>
    <row r="49" spans="1:29" s="15" customFormat="1" x14ac:dyDescent="0.2">
      <c r="A49" s="13"/>
      <c r="B49" s="13"/>
      <c r="C49" s="13"/>
      <c r="D49" s="13"/>
      <c r="E49" s="13"/>
      <c r="F49" s="14"/>
      <c r="G49" s="14"/>
      <c r="H49" s="14"/>
      <c r="I49" s="13"/>
      <c r="J49" s="13"/>
      <c r="K49" s="31"/>
      <c r="L49" s="13"/>
      <c r="M49" s="46"/>
      <c r="N49" s="30"/>
      <c r="O49" s="13"/>
      <c r="P49" s="13"/>
      <c r="Q49" s="13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</row>
    <row r="50" spans="1:29" s="15" customFormat="1" x14ac:dyDescent="0.2">
      <c r="A50" s="13"/>
      <c r="B50" s="13"/>
      <c r="C50" s="13"/>
      <c r="D50" s="13"/>
      <c r="E50" s="13"/>
      <c r="F50" s="14"/>
      <c r="G50" s="14"/>
      <c r="H50" s="14"/>
      <c r="I50" s="13"/>
      <c r="J50" s="13"/>
      <c r="K50" s="31"/>
      <c r="L50" s="13"/>
      <c r="M50" s="46"/>
      <c r="N50" s="30"/>
      <c r="O50" s="13"/>
      <c r="P50" s="13"/>
      <c r="Q50" s="13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</row>
    <row r="51" spans="1:29" s="15" customFormat="1" x14ac:dyDescent="0.2">
      <c r="A51" s="13"/>
      <c r="B51" s="13"/>
      <c r="C51" s="13"/>
      <c r="D51" s="13"/>
      <c r="E51" s="13"/>
      <c r="F51" s="14"/>
      <c r="G51" s="14"/>
      <c r="H51" s="14"/>
      <c r="I51" s="13"/>
      <c r="J51" s="13"/>
      <c r="K51" s="31"/>
      <c r="L51" s="13"/>
      <c r="M51" s="46"/>
      <c r="N51" s="30"/>
      <c r="O51" s="13"/>
      <c r="P51" s="13"/>
      <c r="Q51" s="13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</row>
    <row r="52" spans="1:29" s="15" customFormat="1" x14ac:dyDescent="0.2">
      <c r="A52" s="13"/>
      <c r="B52" s="13"/>
      <c r="C52" s="13"/>
      <c r="D52" s="13"/>
      <c r="E52" s="13"/>
      <c r="F52" s="14"/>
      <c r="G52" s="14"/>
      <c r="H52" s="14"/>
      <c r="I52" s="13"/>
      <c r="J52" s="13"/>
      <c r="K52" s="31"/>
      <c r="L52" s="13"/>
      <c r="M52" s="46"/>
      <c r="N52" s="30"/>
      <c r="O52" s="13"/>
      <c r="P52" s="13"/>
      <c r="Q52" s="13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</row>
    <row r="53" spans="1:29" s="15" customFormat="1" x14ac:dyDescent="0.2">
      <c r="A53" s="13"/>
      <c r="B53" s="13"/>
      <c r="C53" s="13"/>
      <c r="D53" s="13"/>
      <c r="E53" s="13"/>
      <c r="F53" s="14"/>
      <c r="G53" s="14"/>
      <c r="H53" s="14"/>
      <c r="I53" s="13"/>
      <c r="J53" s="13"/>
      <c r="K53" s="31"/>
      <c r="L53" s="13"/>
      <c r="M53" s="46"/>
      <c r="N53" s="30"/>
      <c r="O53" s="13"/>
      <c r="P53" s="13"/>
      <c r="Q53" s="13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</row>
    <row r="54" spans="1:29" s="15" customFormat="1" x14ac:dyDescent="0.2">
      <c r="A54" s="13"/>
      <c r="B54" s="13"/>
      <c r="C54" s="13"/>
      <c r="D54" s="13"/>
      <c r="E54" s="13"/>
      <c r="F54" s="14"/>
      <c r="G54" s="14"/>
      <c r="H54" s="14"/>
      <c r="I54" s="13"/>
      <c r="J54" s="13"/>
      <c r="K54" s="31"/>
      <c r="L54" s="13"/>
      <c r="M54" s="46"/>
      <c r="N54" s="30"/>
      <c r="O54" s="13"/>
      <c r="P54" s="13"/>
      <c r="Q54" s="13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</row>
    <row r="55" spans="1:29" s="15" customFormat="1" x14ac:dyDescent="0.2">
      <c r="A55" s="13"/>
      <c r="B55" s="13"/>
      <c r="C55" s="13"/>
      <c r="D55" s="13"/>
      <c r="E55" s="13"/>
      <c r="F55" s="14"/>
      <c r="G55" s="14"/>
      <c r="H55" s="14"/>
      <c r="I55" s="13"/>
      <c r="J55" s="13"/>
      <c r="K55" s="31"/>
      <c r="L55" s="13"/>
      <c r="M55" s="46"/>
      <c r="N55" s="30"/>
      <c r="O55" s="13"/>
      <c r="P55" s="13"/>
      <c r="Q55" s="13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</row>
    <row r="56" spans="1:29" s="15" customFormat="1" x14ac:dyDescent="0.2">
      <c r="A56" s="13"/>
      <c r="B56" s="13"/>
      <c r="C56" s="13"/>
      <c r="D56" s="13"/>
      <c r="E56" s="13"/>
      <c r="F56" s="14"/>
      <c r="G56" s="14"/>
      <c r="H56" s="14"/>
      <c r="I56" s="13"/>
      <c r="J56" s="13"/>
      <c r="K56" s="31"/>
      <c r="L56" s="13"/>
      <c r="M56" s="46"/>
      <c r="N56" s="30"/>
      <c r="O56" s="13"/>
      <c r="P56" s="13"/>
      <c r="Q56" s="13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s="15" customFormat="1" x14ac:dyDescent="0.2">
      <c r="A57" s="13"/>
      <c r="B57" s="13"/>
      <c r="C57" s="13"/>
      <c r="D57" s="13"/>
      <c r="E57" s="13"/>
      <c r="F57" s="14"/>
      <c r="G57" s="14"/>
      <c r="H57" s="14"/>
      <c r="I57" s="13"/>
      <c r="J57" s="13"/>
      <c r="K57" s="31"/>
      <c r="L57" s="13"/>
      <c r="M57" s="46"/>
      <c r="N57" s="30"/>
      <c r="O57" s="13"/>
      <c r="P57" s="13"/>
      <c r="Q57" s="13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</row>
    <row r="58" spans="1:29" s="15" customFormat="1" x14ac:dyDescent="0.2">
      <c r="A58" s="13"/>
      <c r="B58" s="13"/>
      <c r="C58" s="13"/>
      <c r="D58" s="13"/>
      <c r="E58" s="13"/>
      <c r="F58" s="14"/>
      <c r="G58" s="14"/>
      <c r="H58" s="14"/>
      <c r="I58" s="13"/>
      <c r="J58" s="13"/>
      <c r="K58" s="31"/>
      <c r="L58" s="13"/>
      <c r="M58" s="46"/>
      <c r="N58" s="30"/>
      <c r="O58" s="13"/>
      <c r="P58" s="13"/>
      <c r="Q58" s="13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</row>
    <row r="59" spans="1:29" s="15" customFormat="1" x14ac:dyDescent="0.2">
      <c r="A59" s="13"/>
      <c r="B59" s="13"/>
      <c r="C59" s="13"/>
      <c r="D59" s="13"/>
      <c r="E59" s="13"/>
      <c r="F59" s="14"/>
      <c r="G59" s="14"/>
      <c r="H59" s="14"/>
      <c r="I59" s="13"/>
      <c r="J59" s="13"/>
      <c r="K59" s="31"/>
      <c r="L59" s="13"/>
      <c r="M59" s="46"/>
      <c r="N59" s="30"/>
      <c r="O59" s="13"/>
      <c r="P59" s="13"/>
      <c r="Q59" s="13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</row>
    <row r="60" spans="1:29" s="15" customFormat="1" x14ac:dyDescent="0.2">
      <c r="A60" s="13"/>
      <c r="B60" s="13"/>
      <c r="C60" s="13"/>
      <c r="D60" s="13"/>
      <c r="E60" s="13"/>
      <c r="F60" s="14"/>
      <c r="G60" s="14"/>
      <c r="H60" s="14"/>
      <c r="I60" s="13"/>
      <c r="J60" s="13"/>
      <c r="K60" s="31"/>
      <c r="L60" s="13"/>
      <c r="M60" s="46"/>
      <c r="N60" s="30"/>
      <c r="O60" s="13"/>
      <c r="P60" s="13"/>
      <c r="Q60" s="13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</row>
    <row r="61" spans="1:29" s="15" customFormat="1" x14ac:dyDescent="0.2">
      <c r="A61" s="13"/>
      <c r="B61" s="13"/>
      <c r="C61" s="13"/>
      <c r="D61" s="13"/>
      <c r="E61" s="13"/>
      <c r="F61" s="14"/>
      <c r="G61" s="14"/>
      <c r="H61" s="14"/>
      <c r="I61" s="13"/>
      <c r="J61" s="13"/>
      <c r="K61" s="31"/>
      <c r="L61" s="13"/>
      <c r="M61" s="46"/>
      <c r="N61" s="30"/>
      <c r="O61" s="13"/>
      <c r="P61" s="13"/>
      <c r="Q61" s="13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</row>
    <row r="62" spans="1:29" s="15" customFormat="1" x14ac:dyDescent="0.2">
      <c r="A62" s="13"/>
      <c r="B62" s="13"/>
      <c r="C62" s="13"/>
      <c r="D62" s="13"/>
      <c r="E62" s="13"/>
      <c r="F62" s="14"/>
      <c r="G62" s="14"/>
      <c r="H62" s="14"/>
      <c r="I62" s="13"/>
      <c r="J62" s="13"/>
      <c r="K62" s="31"/>
      <c r="L62" s="13"/>
      <c r="M62" s="46"/>
      <c r="N62" s="30"/>
      <c r="O62" s="13"/>
      <c r="P62" s="13"/>
      <c r="Q62" s="13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</row>
    <row r="63" spans="1:29" s="15" customFormat="1" x14ac:dyDescent="0.2">
      <c r="A63" s="13"/>
      <c r="B63" s="13"/>
      <c r="C63" s="13"/>
      <c r="D63" s="13"/>
      <c r="E63" s="13"/>
      <c r="F63" s="14"/>
      <c r="G63" s="14"/>
      <c r="H63" s="14"/>
      <c r="I63" s="13"/>
      <c r="J63" s="13"/>
      <c r="K63" s="31"/>
      <c r="L63" s="13"/>
      <c r="M63" s="46"/>
      <c r="N63" s="30"/>
      <c r="O63" s="13"/>
      <c r="P63" s="13"/>
      <c r="Q63" s="13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29" s="15" customFormat="1" x14ac:dyDescent="0.2">
      <c r="A64" s="13"/>
      <c r="B64" s="13"/>
      <c r="C64" s="13"/>
      <c r="D64" s="13"/>
      <c r="E64" s="13"/>
      <c r="F64" s="14"/>
      <c r="G64" s="14"/>
      <c r="H64" s="14"/>
      <c r="I64" s="13"/>
      <c r="J64" s="13"/>
      <c r="K64" s="31"/>
      <c r="L64" s="13"/>
      <c r="M64" s="46"/>
      <c r="N64" s="30"/>
      <c r="O64" s="13"/>
      <c r="P64" s="13"/>
      <c r="Q64" s="13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</row>
    <row r="65" spans="1:29" s="15" customFormat="1" x14ac:dyDescent="0.2">
      <c r="A65" s="13"/>
      <c r="B65" s="13"/>
      <c r="C65" s="13"/>
      <c r="D65" s="13"/>
      <c r="E65" s="13"/>
      <c r="F65" s="14"/>
      <c r="G65" s="14"/>
      <c r="H65" s="14"/>
      <c r="I65" s="13"/>
      <c r="J65" s="13"/>
      <c r="K65" s="31"/>
      <c r="L65" s="13"/>
      <c r="M65" s="46"/>
      <c r="N65" s="30"/>
      <c r="O65" s="13"/>
      <c r="P65" s="13"/>
      <c r="Q65" s="13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</row>
    <row r="66" spans="1:29" s="15" customFormat="1" x14ac:dyDescent="0.2">
      <c r="A66" s="13"/>
      <c r="B66" s="13"/>
      <c r="C66" s="13"/>
      <c r="D66" s="13"/>
      <c r="E66" s="13"/>
      <c r="F66" s="14"/>
      <c r="G66" s="14"/>
      <c r="H66" s="14"/>
      <c r="I66" s="13"/>
      <c r="J66" s="13"/>
      <c r="K66" s="31"/>
      <c r="L66" s="13"/>
      <c r="M66" s="46"/>
      <c r="N66" s="30"/>
      <c r="O66" s="13"/>
      <c r="P66" s="13"/>
      <c r="Q66" s="13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</row>
    <row r="67" spans="1:29" s="15" customFormat="1" x14ac:dyDescent="0.2">
      <c r="A67" s="13"/>
      <c r="B67" s="13"/>
      <c r="C67" s="13"/>
      <c r="D67" s="13"/>
      <c r="E67" s="13"/>
      <c r="F67" s="14"/>
      <c r="G67" s="14"/>
      <c r="H67" s="14"/>
      <c r="I67" s="13"/>
      <c r="J67" s="13"/>
      <c r="K67" s="31"/>
      <c r="L67" s="13"/>
      <c r="M67" s="46"/>
      <c r="N67" s="30"/>
      <c r="O67" s="13"/>
      <c r="P67" s="13"/>
      <c r="Q67" s="13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</row>
    <row r="68" spans="1:29" s="15" customFormat="1" x14ac:dyDescent="0.2">
      <c r="A68" s="13"/>
      <c r="B68" s="13"/>
      <c r="C68" s="13"/>
      <c r="D68" s="13"/>
      <c r="E68" s="13"/>
      <c r="F68" s="14"/>
      <c r="G68" s="14"/>
      <c r="H68" s="14"/>
      <c r="I68" s="13"/>
      <c r="J68" s="13"/>
      <c r="K68" s="31"/>
      <c r="L68" s="13"/>
      <c r="M68" s="46"/>
      <c r="N68" s="30"/>
      <c r="O68" s="13"/>
      <c r="P68" s="13"/>
      <c r="Q68" s="13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</row>
    <row r="69" spans="1:29" s="15" customFormat="1" x14ac:dyDescent="0.2">
      <c r="A69" s="13"/>
      <c r="B69" s="13"/>
      <c r="C69" s="13"/>
      <c r="D69" s="13"/>
      <c r="E69" s="13"/>
      <c r="F69" s="14"/>
      <c r="G69" s="14"/>
      <c r="H69" s="14"/>
      <c r="I69" s="13"/>
      <c r="J69" s="13"/>
      <c r="K69" s="31"/>
      <c r="L69" s="13"/>
      <c r="M69" s="46"/>
      <c r="N69" s="30"/>
      <c r="O69" s="13"/>
      <c r="P69" s="13"/>
      <c r="Q69" s="13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</row>
    <row r="70" spans="1:29" s="15" customFormat="1" x14ac:dyDescent="0.2">
      <c r="A70" s="13"/>
      <c r="B70" s="13"/>
      <c r="C70" s="13"/>
      <c r="D70" s="13"/>
      <c r="E70" s="13"/>
      <c r="F70" s="14"/>
      <c r="G70" s="14"/>
      <c r="H70" s="14"/>
      <c r="I70" s="13"/>
      <c r="J70" s="13"/>
      <c r="K70" s="31"/>
      <c r="L70" s="13"/>
      <c r="M70" s="46"/>
      <c r="N70" s="30"/>
      <c r="O70" s="13"/>
      <c r="P70" s="13"/>
      <c r="Q70" s="13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</row>
    <row r="71" spans="1:29" s="15" customFormat="1" x14ac:dyDescent="0.2">
      <c r="A71" s="13"/>
      <c r="B71" s="13"/>
      <c r="C71" s="13"/>
      <c r="D71" s="13"/>
      <c r="E71" s="13"/>
      <c r="F71" s="14"/>
      <c r="G71" s="14"/>
      <c r="H71" s="14"/>
      <c r="I71" s="13"/>
      <c r="J71" s="13"/>
      <c r="K71" s="31"/>
      <c r="L71" s="13"/>
      <c r="M71" s="46"/>
      <c r="N71" s="30"/>
      <c r="O71" s="13"/>
      <c r="P71" s="13"/>
      <c r="Q71" s="13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</row>
    <row r="72" spans="1:29" s="15" customFormat="1" x14ac:dyDescent="0.2">
      <c r="A72" s="13"/>
      <c r="B72" s="13"/>
      <c r="C72" s="13"/>
      <c r="D72" s="13"/>
      <c r="E72" s="13"/>
      <c r="F72" s="14"/>
      <c r="G72" s="14"/>
      <c r="H72" s="14"/>
      <c r="I72" s="13"/>
      <c r="J72" s="13"/>
      <c r="K72" s="31"/>
      <c r="L72" s="13"/>
      <c r="M72" s="46"/>
      <c r="N72" s="30"/>
      <c r="O72" s="13"/>
      <c r="P72" s="13"/>
      <c r="Q72" s="13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</row>
    <row r="73" spans="1:29" s="15" customFormat="1" x14ac:dyDescent="0.2">
      <c r="A73" s="13"/>
      <c r="B73" s="13"/>
      <c r="C73" s="13"/>
      <c r="D73" s="13"/>
      <c r="E73" s="13"/>
      <c r="F73" s="14"/>
      <c r="G73" s="14"/>
      <c r="H73" s="14"/>
      <c r="I73" s="13"/>
      <c r="J73" s="13"/>
      <c r="K73" s="31"/>
      <c r="L73" s="13"/>
      <c r="M73" s="46"/>
      <c r="N73" s="30"/>
      <c r="O73" s="13"/>
      <c r="P73" s="13"/>
      <c r="Q73" s="13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</row>
    <row r="74" spans="1:29" s="15" customFormat="1" x14ac:dyDescent="0.2">
      <c r="A74" s="13"/>
      <c r="B74" s="13"/>
      <c r="C74" s="13"/>
      <c r="D74" s="13"/>
      <c r="E74" s="13"/>
      <c r="F74" s="14"/>
      <c r="G74" s="14"/>
      <c r="H74" s="14"/>
      <c r="I74" s="13"/>
      <c r="J74" s="13"/>
      <c r="K74" s="31"/>
      <c r="L74" s="13"/>
      <c r="M74" s="46"/>
      <c r="N74" s="30"/>
      <c r="O74" s="13"/>
      <c r="P74" s="13"/>
      <c r="Q74" s="13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</row>
    <row r="75" spans="1:29" s="15" customFormat="1" x14ac:dyDescent="0.2">
      <c r="A75" s="13"/>
      <c r="B75" s="13"/>
      <c r="C75" s="13"/>
      <c r="D75" s="13"/>
      <c r="E75" s="13"/>
      <c r="F75" s="14"/>
      <c r="G75" s="14"/>
      <c r="H75" s="14"/>
      <c r="I75" s="13"/>
      <c r="J75" s="13"/>
      <c r="K75" s="31"/>
      <c r="L75" s="13"/>
      <c r="M75" s="46"/>
      <c r="N75" s="30"/>
      <c r="O75" s="13"/>
      <c r="P75" s="13"/>
      <c r="Q75" s="13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</row>
    <row r="76" spans="1:29" s="15" customFormat="1" x14ac:dyDescent="0.2">
      <c r="A76" s="13"/>
      <c r="B76" s="13"/>
      <c r="C76" s="13"/>
      <c r="D76" s="13"/>
      <c r="E76" s="13"/>
      <c r="F76" s="14"/>
      <c r="G76" s="14"/>
      <c r="H76" s="14"/>
      <c r="I76" s="13"/>
      <c r="J76" s="13"/>
      <c r="K76" s="31"/>
      <c r="L76" s="13"/>
      <c r="M76" s="46"/>
      <c r="N76" s="30"/>
      <c r="O76" s="13"/>
      <c r="P76" s="13"/>
      <c r="Q76" s="13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</row>
    <row r="77" spans="1:29" x14ac:dyDescent="0.2">
      <c r="C77" s="18"/>
      <c r="D77" s="18"/>
      <c r="F77" s="32"/>
      <c r="K77" s="18"/>
      <c r="L77" s="18"/>
      <c r="M77" s="18"/>
      <c r="N77" s="18"/>
      <c r="O77" s="18"/>
      <c r="P77" s="18"/>
      <c r="Q77" s="18"/>
      <c r="R77" s="44"/>
      <c r="S77" s="44"/>
    </row>
    <row r="78" spans="1:29" x14ac:dyDescent="0.2">
      <c r="C78" s="18"/>
      <c r="D78" s="18"/>
      <c r="F78" s="32"/>
      <c r="K78" s="18"/>
      <c r="L78" s="18"/>
      <c r="M78" s="18"/>
      <c r="N78" s="18"/>
      <c r="O78" s="18"/>
      <c r="P78" s="18"/>
      <c r="Q78" s="18"/>
      <c r="R78" s="44"/>
      <c r="S78" s="44"/>
    </row>
    <row r="81" spans="3:29" x14ac:dyDescent="0.2">
      <c r="J81" s="32"/>
      <c r="K81" s="38"/>
    </row>
    <row r="82" spans="3:29" x14ac:dyDescent="0.2">
      <c r="C82" s="18"/>
      <c r="D82" s="18"/>
      <c r="J82" s="32"/>
      <c r="K82" s="3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3:29" x14ac:dyDescent="0.2">
      <c r="C83" s="18"/>
      <c r="D83" s="18"/>
      <c r="J83" s="37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3:29" x14ac:dyDescent="0.2">
      <c r="C84" s="18"/>
      <c r="D84" s="18"/>
      <c r="J84" s="37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</sheetData>
  <autoFilter ref="A10:AE10"/>
  <sortState ref="A11:AE37">
    <sortCondition ref="A11:A37"/>
  </sortState>
  <mergeCells count="31">
    <mergeCell ref="AC9:AC10"/>
    <mergeCell ref="X9:X10"/>
    <mergeCell ref="Y9:Y10"/>
    <mergeCell ref="Z9:Z10"/>
    <mergeCell ref="AA9:AA10"/>
    <mergeCell ref="AB9:AB10"/>
    <mergeCell ref="U9:U10"/>
    <mergeCell ref="V9:V10"/>
    <mergeCell ref="W9:W10"/>
    <mergeCell ref="N9:N10"/>
    <mergeCell ref="Q9:Q10"/>
    <mergeCell ref="P9:P10"/>
    <mergeCell ref="T9:T10"/>
    <mergeCell ref="R9:R10"/>
    <mergeCell ref="S9:S10"/>
    <mergeCell ref="A2:O2"/>
    <mergeCell ref="A3:O3"/>
    <mergeCell ref="A5:O5"/>
    <mergeCell ref="A4:O4"/>
    <mergeCell ref="I9:I10"/>
    <mergeCell ref="J9:J10"/>
    <mergeCell ref="K9:K10"/>
    <mergeCell ref="O9:O10"/>
    <mergeCell ref="A9:A10"/>
    <mergeCell ref="B9:B10"/>
    <mergeCell ref="C9:C10"/>
    <mergeCell ref="D9:D10"/>
    <mergeCell ref="E9:E10"/>
    <mergeCell ref="F9:H9"/>
    <mergeCell ref="M9:M10"/>
    <mergeCell ref="L9:L10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tabSelected="1" zoomScale="85" zoomScaleNormal="85" workbookViewId="0">
      <pane xSplit="6" ySplit="7" topLeftCell="G8" activePane="bottomRight" state="frozen"/>
      <selection activeCell="D46" sqref="D46"/>
      <selection pane="topRight" activeCell="D46" sqref="D46"/>
      <selection pane="bottomLeft" activeCell="D46" sqref="D46"/>
      <selection pane="bottomRight" activeCell="G8" sqref="G8"/>
    </sheetView>
  </sheetViews>
  <sheetFormatPr baseColWidth="10" defaultRowHeight="12" x14ac:dyDescent="0.2"/>
  <cols>
    <col min="1" max="1" width="2" style="4" customWidth="1"/>
    <col min="2" max="2" width="20.5703125" style="4" customWidth="1"/>
    <col min="3" max="3" width="15.7109375" style="4" customWidth="1"/>
    <col min="4" max="4" width="23.7109375" style="16" customWidth="1"/>
    <col min="5" max="5" width="31.28515625" style="16" customWidth="1"/>
    <col min="6" max="6" width="37.7109375" style="4" customWidth="1"/>
    <col min="7" max="7" width="13.7109375" style="4" customWidth="1"/>
    <col min="8" max="9" width="11.42578125" style="4"/>
    <col min="10" max="10" width="12.42578125" style="4" customWidth="1"/>
    <col min="11" max="11" width="14" style="4" customWidth="1"/>
    <col min="12" max="12" width="14.5703125" style="10" customWidth="1"/>
    <col min="13" max="13" width="11.42578125" style="11"/>
    <col min="14" max="16384" width="11.42578125" style="4"/>
  </cols>
  <sheetData>
    <row r="1" spans="2:13" x14ac:dyDescent="0.2">
      <c r="B1" s="1"/>
      <c r="C1" s="2"/>
      <c r="D1" s="2"/>
      <c r="E1" s="3"/>
      <c r="F1" s="1"/>
      <c r="G1" s="1"/>
      <c r="H1" s="1"/>
      <c r="I1" s="1"/>
      <c r="L1" s="5"/>
      <c r="M1" s="6"/>
    </row>
    <row r="2" spans="2:13" ht="15" x14ac:dyDescent="0.25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2"/>
    </row>
    <row r="3" spans="2:13" ht="14.25" x14ac:dyDescent="0.2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2"/>
    </row>
    <row r="4" spans="2:13" ht="17.25" customHeight="1" x14ac:dyDescent="0.2">
      <c r="B4" s="106" t="s">
        <v>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2"/>
    </row>
    <row r="5" spans="2:13" ht="21.75" customHeight="1" x14ac:dyDescent="0.2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2:13" ht="12" customHeight="1" x14ac:dyDescent="0.2">
      <c r="B6" s="108" t="s">
        <v>3</v>
      </c>
      <c r="C6" s="108" t="s">
        <v>4</v>
      </c>
      <c r="D6" s="108" t="s">
        <v>5</v>
      </c>
      <c r="E6" s="108" t="s">
        <v>6</v>
      </c>
      <c r="F6" s="108" t="s">
        <v>7</v>
      </c>
      <c r="G6" s="110" t="s">
        <v>8</v>
      </c>
      <c r="H6" s="111"/>
      <c r="I6" s="112"/>
      <c r="J6" s="113" t="s">
        <v>9</v>
      </c>
      <c r="K6" s="108" t="s">
        <v>10</v>
      </c>
      <c r="L6" s="103" t="s">
        <v>11</v>
      </c>
      <c r="M6" s="7" t="s">
        <v>15</v>
      </c>
    </row>
    <row r="7" spans="2:13" s="9" customFormat="1" ht="30.75" customHeight="1" x14ac:dyDescent="0.2">
      <c r="B7" s="109"/>
      <c r="C7" s="109"/>
      <c r="D7" s="109"/>
      <c r="E7" s="109"/>
      <c r="F7" s="109"/>
      <c r="G7" s="17" t="s">
        <v>12</v>
      </c>
      <c r="H7" s="17" t="s">
        <v>13</v>
      </c>
      <c r="I7" s="17" t="s">
        <v>14</v>
      </c>
      <c r="J7" s="114"/>
      <c r="K7" s="109"/>
      <c r="L7" s="104"/>
      <c r="M7" s="8"/>
    </row>
    <row r="8" spans="2:13" s="2" customFormat="1" ht="43.5" customHeight="1" x14ac:dyDescent="0.2">
      <c r="B8" s="13" t="s">
        <v>199</v>
      </c>
      <c r="C8" s="13" t="s">
        <v>200</v>
      </c>
      <c r="D8" s="13" t="s">
        <v>201</v>
      </c>
      <c r="E8" s="13" t="s">
        <v>202</v>
      </c>
      <c r="F8" s="13" t="s">
        <v>203</v>
      </c>
      <c r="G8" s="14">
        <v>42426</v>
      </c>
      <c r="H8" s="14">
        <v>42429</v>
      </c>
      <c r="I8" s="14">
        <v>42736</v>
      </c>
      <c r="J8" s="13" t="s">
        <v>16</v>
      </c>
      <c r="K8" s="13" t="s">
        <v>85</v>
      </c>
      <c r="L8" s="31">
        <v>16052.84</v>
      </c>
      <c r="M8" s="13" t="s">
        <v>73</v>
      </c>
    </row>
    <row r="9" spans="2:13" s="2" customFormat="1" ht="43.5" customHeight="1" x14ac:dyDescent="0.2">
      <c r="B9" s="13" t="s">
        <v>199</v>
      </c>
      <c r="C9" s="13" t="s">
        <v>200</v>
      </c>
      <c r="D9" s="13" t="s">
        <v>201</v>
      </c>
      <c r="E9" s="13" t="s">
        <v>202</v>
      </c>
      <c r="F9" s="13" t="s">
        <v>210</v>
      </c>
      <c r="G9" s="14">
        <v>42727</v>
      </c>
      <c r="H9" s="14">
        <v>42727</v>
      </c>
      <c r="I9" s="14">
        <v>42794</v>
      </c>
      <c r="J9" s="13" t="s">
        <v>16</v>
      </c>
      <c r="K9" s="13" t="s">
        <v>85</v>
      </c>
      <c r="L9" s="31">
        <f>2977.75/1.16</f>
        <v>2567.0258620689656</v>
      </c>
      <c r="M9" s="13" t="s">
        <v>73</v>
      </c>
    </row>
    <row r="10" spans="2:13" s="2" customFormat="1" ht="43.5" customHeight="1" x14ac:dyDescent="0.2">
      <c r="B10" s="20"/>
      <c r="C10" s="20"/>
      <c r="D10" s="20"/>
      <c r="E10" s="20"/>
      <c r="F10" s="20"/>
      <c r="G10" s="35"/>
      <c r="H10" s="35"/>
      <c r="I10" s="35"/>
      <c r="J10" s="20"/>
      <c r="K10" s="20"/>
      <c r="L10" s="36"/>
      <c r="M10" s="20"/>
    </row>
    <row r="11" spans="2:13" s="2" customFormat="1" ht="43.5" customHeight="1" x14ac:dyDescent="0.2">
      <c r="B11" s="13" t="s">
        <v>204</v>
      </c>
      <c r="C11" s="13" t="s">
        <v>200</v>
      </c>
      <c r="D11" s="13" t="s">
        <v>89</v>
      </c>
      <c r="E11" s="13" t="s">
        <v>205</v>
      </c>
      <c r="F11" s="13" t="s">
        <v>206</v>
      </c>
      <c r="G11" s="14">
        <v>42426</v>
      </c>
      <c r="H11" s="14">
        <v>42429</v>
      </c>
      <c r="I11" s="14">
        <v>42736</v>
      </c>
      <c r="J11" s="13" t="s">
        <v>16</v>
      </c>
      <c r="K11" s="13" t="s">
        <v>85</v>
      </c>
      <c r="L11" s="31">
        <v>1040559.88</v>
      </c>
      <c r="M11" s="13" t="s">
        <v>20</v>
      </c>
    </row>
    <row r="12" spans="2:13" s="2" customFormat="1" ht="43.5" customHeight="1" x14ac:dyDescent="0.2">
      <c r="B12" s="13" t="s">
        <v>204</v>
      </c>
      <c r="C12" s="13" t="s">
        <v>200</v>
      </c>
      <c r="D12" s="13" t="s">
        <v>89</v>
      </c>
      <c r="E12" s="13" t="s">
        <v>205</v>
      </c>
      <c r="F12" s="13" t="s">
        <v>210</v>
      </c>
      <c r="G12" s="14">
        <v>42727</v>
      </c>
      <c r="H12" s="14">
        <v>42727</v>
      </c>
      <c r="I12" s="14">
        <v>42794</v>
      </c>
      <c r="J12" s="13" t="s">
        <v>16</v>
      </c>
      <c r="K12" s="13" t="s">
        <v>85</v>
      </c>
      <c r="L12" s="31">
        <f>302608.97/1.16</f>
        <v>260869.80172413791</v>
      </c>
      <c r="M12" s="13" t="s">
        <v>20</v>
      </c>
    </row>
    <row r="13" spans="2:13" s="2" customFormat="1" ht="43.5" customHeight="1" x14ac:dyDescent="0.2">
      <c r="B13" s="20"/>
      <c r="C13" s="20"/>
      <c r="D13" s="20"/>
      <c r="E13" s="20"/>
      <c r="F13" s="20"/>
      <c r="G13" s="35"/>
      <c r="H13" s="35"/>
      <c r="I13" s="35"/>
      <c r="J13" s="20"/>
      <c r="K13" s="20"/>
      <c r="L13" s="36"/>
      <c r="M13" s="20"/>
    </row>
    <row r="14" spans="2:13" s="2" customFormat="1" ht="43.5" customHeight="1" x14ac:dyDescent="0.2">
      <c r="B14" s="13" t="s">
        <v>207</v>
      </c>
      <c r="C14" s="13" t="s">
        <v>200</v>
      </c>
      <c r="D14" s="13" t="s">
        <v>201</v>
      </c>
      <c r="E14" s="13" t="s">
        <v>208</v>
      </c>
      <c r="F14" s="13" t="s">
        <v>209</v>
      </c>
      <c r="G14" s="14">
        <v>42426</v>
      </c>
      <c r="H14" s="14">
        <v>42429</v>
      </c>
      <c r="I14" s="14">
        <v>42736</v>
      </c>
      <c r="J14" s="13" t="s">
        <v>16</v>
      </c>
      <c r="K14" s="13" t="s">
        <v>85</v>
      </c>
      <c r="L14" s="31">
        <v>389370.85</v>
      </c>
      <c r="M14" s="13" t="s">
        <v>20</v>
      </c>
    </row>
    <row r="15" spans="2:13" s="2" customFormat="1" ht="43.5" customHeight="1" x14ac:dyDescent="0.2">
      <c r="B15" s="13" t="s">
        <v>207</v>
      </c>
      <c r="C15" s="13" t="s">
        <v>200</v>
      </c>
      <c r="D15" s="13" t="s">
        <v>201</v>
      </c>
      <c r="E15" s="13" t="s">
        <v>208</v>
      </c>
      <c r="F15" s="13" t="s">
        <v>210</v>
      </c>
      <c r="G15" s="14">
        <v>42727</v>
      </c>
      <c r="H15" s="14">
        <v>42727</v>
      </c>
      <c r="I15" s="14">
        <v>42794</v>
      </c>
      <c r="J15" s="13" t="s">
        <v>16</v>
      </c>
      <c r="K15" s="13" t="s">
        <v>85</v>
      </c>
      <c r="L15" s="31">
        <v>73144.3</v>
      </c>
      <c r="M15" s="13" t="s">
        <v>20</v>
      </c>
    </row>
    <row r="16" spans="2:13" s="2" customFormat="1" ht="43.5" customHeight="1" x14ac:dyDescent="0.2">
      <c r="B16" s="20"/>
      <c r="C16" s="20"/>
      <c r="D16" s="20"/>
      <c r="E16" s="20"/>
      <c r="F16" s="20"/>
      <c r="G16" s="35"/>
      <c r="H16" s="35"/>
      <c r="I16" s="35"/>
      <c r="J16" s="20"/>
      <c r="K16" s="20"/>
      <c r="L16" s="36"/>
      <c r="M16" s="20"/>
    </row>
    <row r="17" spans="2:13" s="2" customFormat="1" ht="43.5" customHeight="1" x14ac:dyDescent="0.2">
      <c r="B17" s="13" t="s">
        <v>193</v>
      </c>
      <c r="C17" s="13" t="s">
        <v>68</v>
      </c>
      <c r="D17" s="13" t="s">
        <v>194</v>
      </c>
      <c r="E17" s="13" t="s">
        <v>195</v>
      </c>
      <c r="F17" s="13" t="s">
        <v>196</v>
      </c>
      <c r="G17" s="14">
        <v>42608</v>
      </c>
      <c r="H17" s="14">
        <v>42608</v>
      </c>
      <c r="I17" s="14">
        <v>42692</v>
      </c>
      <c r="J17" s="13" t="s">
        <v>16</v>
      </c>
      <c r="K17" s="13" t="s">
        <v>72</v>
      </c>
      <c r="L17" s="31">
        <f>292220.24/1.16</f>
        <v>251914</v>
      </c>
      <c r="M17" s="13" t="s">
        <v>73</v>
      </c>
    </row>
    <row r="18" spans="2:13" s="2" customFormat="1" ht="43.5" customHeight="1" x14ac:dyDescent="0.2">
      <c r="B18" s="13" t="s">
        <v>197</v>
      </c>
      <c r="C18" s="13" t="s">
        <v>68</v>
      </c>
      <c r="D18" s="13" t="s">
        <v>194</v>
      </c>
      <c r="E18" s="13" t="s">
        <v>195</v>
      </c>
      <c r="F18" s="13" t="s">
        <v>198</v>
      </c>
      <c r="G18" s="14">
        <v>42762</v>
      </c>
      <c r="H18" s="14">
        <v>42762</v>
      </c>
      <c r="I18" s="14">
        <v>42855</v>
      </c>
      <c r="J18" s="13" t="s">
        <v>16</v>
      </c>
      <c r="K18" s="13" t="s">
        <v>72</v>
      </c>
      <c r="L18" s="31">
        <f>292220.24/1.16</f>
        <v>251914</v>
      </c>
      <c r="M18" s="13" t="s">
        <v>73</v>
      </c>
    </row>
    <row r="19" spans="2:13" s="2" customFormat="1" ht="43.5" customHeight="1" x14ac:dyDescent="0.2">
      <c r="B19" s="20"/>
      <c r="C19" s="20"/>
      <c r="D19" s="20"/>
      <c r="E19" s="20"/>
      <c r="F19" s="20"/>
      <c r="G19" s="35"/>
      <c r="H19" s="35"/>
      <c r="I19" s="35"/>
      <c r="J19" s="20"/>
      <c r="K19" s="20"/>
      <c r="L19" s="36"/>
      <c r="M19" s="20"/>
    </row>
    <row r="20" spans="2:13" s="2" customFormat="1" ht="43.5" customHeight="1" x14ac:dyDescent="0.2">
      <c r="B20" s="13" t="s">
        <v>216</v>
      </c>
      <c r="C20" s="13" t="s">
        <v>68</v>
      </c>
      <c r="D20" s="13" t="s">
        <v>154</v>
      </c>
      <c r="E20" s="13" t="s">
        <v>217</v>
      </c>
      <c r="F20" s="13" t="s">
        <v>218</v>
      </c>
      <c r="G20" s="14">
        <v>42669</v>
      </c>
      <c r="H20" s="14">
        <v>42669</v>
      </c>
      <c r="I20" s="14">
        <v>42725</v>
      </c>
      <c r="J20" s="13" t="s">
        <v>16</v>
      </c>
      <c r="K20" s="13" t="s">
        <v>72</v>
      </c>
      <c r="L20" s="31">
        <v>384452.98</v>
      </c>
      <c r="M20" s="13" t="s">
        <v>20</v>
      </c>
    </row>
    <row r="21" spans="2:13" s="2" customFormat="1" ht="43.5" customHeight="1" x14ac:dyDescent="0.2">
      <c r="B21" s="13" t="s">
        <v>216</v>
      </c>
      <c r="C21" s="13" t="s">
        <v>68</v>
      </c>
      <c r="D21" s="13" t="s">
        <v>154</v>
      </c>
      <c r="E21" s="13" t="s">
        <v>217</v>
      </c>
      <c r="F21" s="13" t="s">
        <v>219</v>
      </c>
      <c r="G21" s="14">
        <v>42669</v>
      </c>
      <c r="H21" s="14">
        <v>42669</v>
      </c>
      <c r="I21" s="14">
        <v>42725</v>
      </c>
      <c r="J21" s="13" t="s">
        <v>16</v>
      </c>
      <c r="K21" s="13" t="s">
        <v>72</v>
      </c>
      <c r="L21" s="31">
        <f>39498/1.16</f>
        <v>34050</v>
      </c>
      <c r="M21" s="13" t="s">
        <v>20</v>
      </c>
    </row>
    <row r="22" spans="2:13" s="2" customFormat="1" ht="43.5" customHeight="1" x14ac:dyDescent="0.2">
      <c r="B22" s="20"/>
      <c r="C22" s="20"/>
      <c r="D22" s="20"/>
      <c r="E22" s="20"/>
      <c r="F22" s="20"/>
      <c r="G22" s="35"/>
      <c r="H22" s="35"/>
      <c r="I22" s="35"/>
      <c r="J22" s="20"/>
      <c r="K22" s="20"/>
      <c r="L22" s="36"/>
      <c r="M22" s="20"/>
    </row>
    <row r="23" spans="2:13" s="2" customFormat="1" ht="43.5" customHeight="1" x14ac:dyDescent="0.2">
      <c r="B23" s="13" t="s">
        <v>211</v>
      </c>
      <c r="C23" s="13" t="s">
        <v>68</v>
      </c>
      <c r="D23" s="13" t="s">
        <v>212</v>
      </c>
      <c r="E23" s="13" t="s">
        <v>213</v>
      </c>
      <c r="F23" s="13" t="s">
        <v>214</v>
      </c>
      <c r="G23" s="14">
        <v>42688</v>
      </c>
      <c r="H23" s="14">
        <v>42688</v>
      </c>
      <c r="I23" s="14">
        <v>42730</v>
      </c>
      <c r="J23" s="13" t="s">
        <v>16</v>
      </c>
      <c r="K23" s="13" t="s">
        <v>72</v>
      </c>
      <c r="L23" s="31">
        <f>231548.09/1.16</f>
        <v>199610.4224137931</v>
      </c>
      <c r="M23" s="13" t="s">
        <v>20</v>
      </c>
    </row>
    <row r="24" spans="2:13" s="2" customFormat="1" ht="43.5" customHeight="1" x14ac:dyDescent="0.2">
      <c r="B24" s="13" t="s">
        <v>211</v>
      </c>
      <c r="C24" s="13" t="s">
        <v>68</v>
      </c>
      <c r="D24" s="13" t="s">
        <v>212</v>
      </c>
      <c r="E24" s="13" t="s">
        <v>213</v>
      </c>
      <c r="F24" s="13" t="s">
        <v>215</v>
      </c>
      <c r="G24" s="14">
        <v>42688</v>
      </c>
      <c r="H24" s="14">
        <v>42688</v>
      </c>
      <c r="I24" s="14">
        <v>42730</v>
      </c>
      <c r="J24" s="13" t="s">
        <v>16</v>
      </c>
      <c r="K24" s="13" t="s">
        <v>72</v>
      </c>
      <c r="L24" s="31">
        <f>231548.09/1.16</f>
        <v>199610.4224137931</v>
      </c>
      <c r="M24" s="13" t="s">
        <v>20</v>
      </c>
    </row>
    <row r="25" spans="2:13" s="2" customFormat="1" ht="43.5" customHeight="1" x14ac:dyDescent="0.2">
      <c r="B25" s="20"/>
      <c r="C25" s="20"/>
      <c r="D25" s="20"/>
      <c r="E25" s="20"/>
      <c r="F25" s="20"/>
      <c r="G25" s="35"/>
      <c r="H25" s="35"/>
      <c r="I25" s="35"/>
      <c r="J25" s="20"/>
      <c r="K25" s="20"/>
      <c r="L25" s="36"/>
      <c r="M25" s="20"/>
    </row>
    <row r="26" spans="2:13" s="2" customFormat="1" ht="43.5" customHeight="1" x14ac:dyDescent="0.2">
      <c r="B26" s="13" t="s">
        <v>183</v>
      </c>
      <c r="C26" s="13" t="s">
        <v>68</v>
      </c>
      <c r="D26" s="13" t="s">
        <v>184</v>
      </c>
      <c r="E26" s="13" t="s">
        <v>185</v>
      </c>
      <c r="F26" s="13" t="s">
        <v>186</v>
      </c>
      <c r="G26" s="14">
        <v>42703</v>
      </c>
      <c r="H26" s="14">
        <v>42703</v>
      </c>
      <c r="I26" s="14">
        <v>42853</v>
      </c>
      <c r="J26" s="13" t="s">
        <v>16</v>
      </c>
      <c r="K26" s="13" t="s">
        <v>72</v>
      </c>
      <c r="L26" s="31">
        <v>13325000</v>
      </c>
      <c r="M26" s="13" t="s">
        <v>20</v>
      </c>
    </row>
    <row r="27" spans="2:13" s="2" customFormat="1" ht="74.25" customHeight="1" x14ac:dyDescent="0.2">
      <c r="B27" s="13" t="s">
        <v>239</v>
      </c>
      <c r="C27" s="13" t="s">
        <v>68</v>
      </c>
      <c r="D27" s="13" t="s">
        <v>184</v>
      </c>
      <c r="E27" s="13" t="s">
        <v>185</v>
      </c>
      <c r="F27" s="13" t="s">
        <v>187</v>
      </c>
      <c r="G27" s="14">
        <v>42790</v>
      </c>
      <c r="H27" s="14">
        <v>42815</v>
      </c>
      <c r="I27" s="14">
        <v>42874</v>
      </c>
      <c r="J27" s="13" t="s">
        <v>16</v>
      </c>
      <c r="K27" s="13" t="s">
        <v>72</v>
      </c>
      <c r="L27" s="31">
        <v>13325000</v>
      </c>
      <c r="M27" s="13" t="s">
        <v>20</v>
      </c>
    </row>
    <row r="28" spans="2:13" s="2" customFormat="1" ht="60" customHeight="1" x14ac:dyDescent="0.2">
      <c r="B28" s="13" t="s">
        <v>240</v>
      </c>
      <c r="C28" s="13" t="s">
        <v>68</v>
      </c>
      <c r="D28" s="13" t="s">
        <v>184</v>
      </c>
      <c r="E28" s="13" t="s">
        <v>185</v>
      </c>
      <c r="F28" s="13" t="s">
        <v>241</v>
      </c>
      <c r="G28" s="14">
        <v>42815</v>
      </c>
      <c r="H28" s="14">
        <v>42815</v>
      </c>
      <c r="I28" s="14">
        <v>42874</v>
      </c>
      <c r="J28" s="13" t="s">
        <v>16</v>
      </c>
      <c r="K28" s="13" t="s">
        <v>72</v>
      </c>
      <c r="L28" s="31">
        <v>13325000</v>
      </c>
      <c r="M28" s="13" t="s">
        <v>20</v>
      </c>
    </row>
    <row r="29" spans="2:13" s="2" customFormat="1" ht="43.5" customHeight="1" x14ac:dyDescent="0.2">
      <c r="B29" s="20"/>
      <c r="C29" s="20"/>
      <c r="D29" s="20"/>
      <c r="E29" s="20"/>
      <c r="F29" s="20"/>
      <c r="G29" s="35"/>
      <c r="H29" s="35"/>
      <c r="I29" s="35"/>
      <c r="J29" s="20"/>
      <c r="K29" s="20"/>
      <c r="L29" s="36"/>
      <c r="M29" s="20"/>
    </row>
    <row r="30" spans="2:13" s="2" customFormat="1" ht="43.5" customHeight="1" x14ac:dyDescent="0.2">
      <c r="B30" s="13" t="s">
        <v>188</v>
      </c>
      <c r="C30" s="13" t="s">
        <v>68</v>
      </c>
      <c r="D30" s="13" t="s">
        <v>189</v>
      </c>
      <c r="E30" s="13" t="s">
        <v>190</v>
      </c>
      <c r="F30" s="13" t="s">
        <v>191</v>
      </c>
      <c r="G30" s="14">
        <v>42705</v>
      </c>
      <c r="H30" s="14">
        <v>42705</v>
      </c>
      <c r="I30" s="14">
        <f>+H30+84</f>
        <v>42789</v>
      </c>
      <c r="J30" s="13" t="s">
        <v>16</v>
      </c>
      <c r="K30" s="13" t="s">
        <v>72</v>
      </c>
      <c r="L30" s="31">
        <f>25448.05/1.16</f>
        <v>21937.974137931036</v>
      </c>
      <c r="M30" s="13" t="s">
        <v>73</v>
      </c>
    </row>
    <row r="31" spans="2:13" s="2" customFormat="1" ht="43.5" customHeight="1" x14ac:dyDescent="0.2">
      <c r="B31" s="13" t="s">
        <v>188</v>
      </c>
      <c r="C31" s="13" t="s">
        <v>68</v>
      </c>
      <c r="D31" s="13" t="s">
        <v>189</v>
      </c>
      <c r="E31" s="13" t="s">
        <v>190</v>
      </c>
      <c r="F31" s="13" t="s">
        <v>192</v>
      </c>
      <c r="G31" s="14">
        <v>42789</v>
      </c>
      <c r="H31" s="14">
        <v>42789</v>
      </c>
      <c r="I31" s="14">
        <v>42819</v>
      </c>
      <c r="J31" s="13" t="s">
        <v>16</v>
      </c>
      <c r="K31" s="13" t="s">
        <v>72</v>
      </c>
      <c r="L31" s="31">
        <f>25448.05/1.16</f>
        <v>21937.974137931036</v>
      </c>
      <c r="M31" s="13" t="s">
        <v>73</v>
      </c>
    </row>
    <row r="32" spans="2:13" s="2" customFormat="1" ht="43.5" customHeight="1" x14ac:dyDescent="0.2">
      <c r="B32" s="20"/>
      <c r="C32" s="20"/>
      <c r="D32" s="20"/>
      <c r="E32" s="20"/>
      <c r="F32" s="20"/>
      <c r="G32" s="35"/>
      <c r="H32" s="35"/>
      <c r="I32" s="35"/>
      <c r="J32" s="20"/>
      <c r="K32" s="20"/>
      <c r="L32" s="36"/>
      <c r="M32" s="20"/>
    </row>
    <row r="33" spans="2:13" s="2" customFormat="1" ht="43.5" customHeight="1" x14ac:dyDescent="0.2">
      <c r="B33" s="13" t="s">
        <v>220</v>
      </c>
      <c r="C33" s="13" t="s">
        <v>68</v>
      </c>
      <c r="D33" s="13" t="s">
        <v>221</v>
      </c>
      <c r="E33" s="13" t="s">
        <v>222</v>
      </c>
      <c r="F33" s="13" t="s">
        <v>223</v>
      </c>
      <c r="G33" s="14">
        <v>42727</v>
      </c>
      <c r="H33" s="14">
        <v>42727</v>
      </c>
      <c r="I33" s="14">
        <v>42745</v>
      </c>
      <c r="J33" s="13" t="s">
        <v>16</v>
      </c>
      <c r="K33" s="13" t="s">
        <v>72</v>
      </c>
      <c r="L33" s="31">
        <f>237834.99/1.16</f>
        <v>205030.16379310345</v>
      </c>
      <c r="M33" s="13" t="s">
        <v>20</v>
      </c>
    </row>
    <row r="34" spans="2:13" s="2" customFormat="1" ht="43.5" customHeight="1" x14ac:dyDescent="0.2">
      <c r="B34" s="13" t="s">
        <v>220</v>
      </c>
      <c r="C34" s="13" t="s">
        <v>68</v>
      </c>
      <c r="D34" s="13" t="s">
        <v>221</v>
      </c>
      <c r="E34" s="13" t="s">
        <v>222</v>
      </c>
      <c r="F34" s="13" t="s">
        <v>224</v>
      </c>
      <c r="G34" s="14">
        <v>42775</v>
      </c>
      <c r="H34" s="14">
        <v>42775</v>
      </c>
      <c r="I34" s="14">
        <v>42793</v>
      </c>
      <c r="J34" s="13" t="s">
        <v>16</v>
      </c>
      <c r="K34" s="13" t="s">
        <v>72</v>
      </c>
      <c r="L34" s="31">
        <f>237834.99/1.16</f>
        <v>205030.16379310345</v>
      </c>
      <c r="M34" s="13" t="s">
        <v>20</v>
      </c>
    </row>
    <row r="35" spans="2:13" s="2" customFormat="1" ht="43.5" customHeight="1" x14ac:dyDescent="0.2">
      <c r="B35" s="20"/>
      <c r="C35" s="20"/>
      <c r="D35" s="20"/>
      <c r="E35" s="20"/>
      <c r="F35" s="20"/>
      <c r="G35" s="35"/>
      <c r="H35" s="35"/>
      <c r="I35" s="35"/>
      <c r="J35" s="20"/>
      <c r="K35" s="20"/>
      <c r="L35" s="36"/>
      <c r="M35" s="20"/>
    </row>
    <row r="36" spans="2:13" s="2" customFormat="1" ht="43.5" customHeight="1" x14ac:dyDescent="0.2">
      <c r="B36" s="13" t="s">
        <v>67</v>
      </c>
      <c r="C36" s="13" t="s">
        <v>68</v>
      </c>
      <c r="D36" s="13" t="s">
        <v>69</v>
      </c>
      <c r="E36" s="13" t="s">
        <v>70</v>
      </c>
      <c r="F36" s="13" t="s">
        <v>71</v>
      </c>
      <c r="G36" s="14">
        <v>42727</v>
      </c>
      <c r="H36" s="14">
        <v>42727</v>
      </c>
      <c r="I36" s="14">
        <v>42776</v>
      </c>
      <c r="J36" s="13" t="s">
        <v>16</v>
      </c>
      <c r="K36" s="13" t="s">
        <v>72</v>
      </c>
      <c r="L36" s="31">
        <f>23006.54/1.16</f>
        <v>19833.224137931036</v>
      </c>
      <c r="M36" s="13" t="s">
        <v>73</v>
      </c>
    </row>
    <row r="37" spans="2:13" s="2" customFormat="1" ht="43.5" customHeight="1" x14ac:dyDescent="0.2">
      <c r="B37" s="13" t="s">
        <v>74</v>
      </c>
      <c r="C37" s="13" t="s">
        <v>68</v>
      </c>
      <c r="D37" s="13" t="s">
        <v>69</v>
      </c>
      <c r="E37" s="13" t="s">
        <v>70</v>
      </c>
      <c r="F37" s="13" t="s">
        <v>75</v>
      </c>
      <c r="G37" s="14">
        <v>42775</v>
      </c>
      <c r="H37" s="14">
        <v>42775</v>
      </c>
      <c r="I37" s="14">
        <v>42793</v>
      </c>
      <c r="J37" s="13" t="s">
        <v>16</v>
      </c>
      <c r="K37" s="13" t="s">
        <v>72</v>
      </c>
      <c r="L37" s="31">
        <f>23006.54/1.16</f>
        <v>19833.224137931036</v>
      </c>
      <c r="M37" s="13" t="s">
        <v>73</v>
      </c>
    </row>
    <row r="38" spans="2:13" s="2" customFormat="1" ht="43.5" customHeight="1" x14ac:dyDescent="0.2">
      <c r="B38" s="20"/>
      <c r="C38" s="20"/>
      <c r="D38" s="20"/>
      <c r="E38" s="20"/>
      <c r="F38" s="20"/>
      <c r="G38" s="35"/>
      <c r="H38" s="35"/>
      <c r="I38" s="35"/>
      <c r="J38" s="20"/>
      <c r="K38" s="20"/>
      <c r="L38" s="36"/>
      <c r="M38" s="20"/>
    </row>
    <row r="39" spans="2:13" s="2" customFormat="1" ht="43.5" customHeight="1" x14ac:dyDescent="0.2">
      <c r="B39" s="13" t="s">
        <v>178</v>
      </c>
      <c r="C39" s="13" t="s">
        <v>68</v>
      </c>
      <c r="D39" s="13" t="s">
        <v>179</v>
      </c>
      <c r="E39" s="13" t="s">
        <v>180</v>
      </c>
      <c r="F39" s="13" t="s">
        <v>181</v>
      </c>
      <c r="G39" s="14">
        <v>42727</v>
      </c>
      <c r="H39" s="14">
        <v>42727</v>
      </c>
      <c r="I39" s="14">
        <f>+H39+42</f>
        <v>42769</v>
      </c>
      <c r="J39" s="13" t="s">
        <v>16</v>
      </c>
      <c r="K39" s="13" t="s">
        <v>72</v>
      </c>
      <c r="L39" s="31">
        <v>93962.94</v>
      </c>
      <c r="M39" s="13" t="s">
        <v>73</v>
      </c>
    </row>
    <row r="40" spans="2:13" s="2" customFormat="1" ht="43.5" customHeight="1" x14ac:dyDescent="0.2">
      <c r="B40" s="13" t="s">
        <v>178</v>
      </c>
      <c r="C40" s="13" t="s">
        <v>68</v>
      </c>
      <c r="D40" s="13" t="s">
        <v>179</v>
      </c>
      <c r="E40" s="13" t="s">
        <v>180</v>
      </c>
      <c r="F40" s="13" t="s">
        <v>182</v>
      </c>
      <c r="G40" s="14">
        <v>42765</v>
      </c>
      <c r="H40" s="14">
        <f>+G40</f>
        <v>42765</v>
      </c>
      <c r="I40" s="14">
        <v>42795</v>
      </c>
      <c r="J40" s="13" t="s">
        <v>16</v>
      </c>
      <c r="K40" s="13" t="s">
        <v>72</v>
      </c>
      <c r="L40" s="31">
        <v>93962.94</v>
      </c>
      <c r="M40" s="13" t="s">
        <v>73</v>
      </c>
    </row>
    <row r="41" spans="2:13" s="2" customFormat="1" x14ac:dyDescent="0.2">
      <c r="B41" s="20"/>
      <c r="C41" s="20"/>
      <c r="D41" s="20"/>
      <c r="E41" s="20"/>
      <c r="F41" s="20"/>
      <c r="G41" s="35"/>
      <c r="H41" s="35"/>
      <c r="I41" s="35"/>
      <c r="J41" s="20"/>
      <c r="K41" s="20"/>
      <c r="L41" s="36"/>
      <c r="M41" s="20"/>
    </row>
    <row r="42" spans="2:13" s="2" customFormat="1" ht="43.5" customHeight="1" x14ac:dyDescent="0.2">
      <c r="B42" s="13" t="s">
        <v>193</v>
      </c>
      <c r="C42" s="13" t="s">
        <v>68</v>
      </c>
      <c r="D42" s="13" t="s">
        <v>194</v>
      </c>
      <c r="E42" s="13" t="s">
        <v>195</v>
      </c>
      <c r="F42" s="13" t="s">
        <v>196</v>
      </c>
      <c r="G42" s="14">
        <v>42608</v>
      </c>
      <c r="H42" s="14">
        <v>42608</v>
      </c>
      <c r="I42" s="14">
        <v>42692</v>
      </c>
      <c r="J42" s="13" t="s">
        <v>16</v>
      </c>
      <c r="K42" s="13" t="s">
        <v>72</v>
      </c>
      <c r="L42" s="31">
        <f>292220.24/1.16</f>
        <v>251914</v>
      </c>
      <c r="M42" s="13" t="s">
        <v>73</v>
      </c>
    </row>
    <row r="43" spans="2:13" s="2" customFormat="1" ht="43.5" customHeight="1" x14ac:dyDescent="0.2">
      <c r="B43" s="13" t="s">
        <v>287</v>
      </c>
      <c r="C43" s="13" t="s">
        <v>68</v>
      </c>
      <c r="D43" s="13" t="s">
        <v>194</v>
      </c>
      <c r="E43" s="13" t="s">
        <v>195</v>
      </c>
      <c r="F43" s="13" t="s">
        <v>288</v>
      </c>
      <c r="G43" s="14">
        <v>42859</v>
      </c>
      <c r="H43" s="14">
        <v>42859</v>
      </c>
      <c r="I43" s="14">
        <v>43001</v>
      </c>
      <c r="J43" s="13" t="s">
        <v>16</v>
      </c>
      <c r="K43" s="13" t="s">
        <v>72</v>
      </c>
      <c r="L43" s="31">
        <f>292220.24/1.16</f>
        <v>251914</v>
      </c>
      <c r="M43" s="13" t="s">
        <v>73</v>
      </c>
    </row>
    <row r="45" spans="2:13" s="2" customFormat="1" ht="43.5" customHeight="1" x14ac:dyDescent="0.2">
      <c r="B45" s="13" t="s">
        <v>289</v>
      </c>
      <c r="C45" s="13" t="s">
        <v>68</v>
      </c>
      <c r="D45" s="13" t="s">
        <v>290</v>
      </c>
      <c r="E45" s="13" t="s">
        <v>306</v>
      </c>
      <c r="F45" s="13"/>
      <c r="G45" s="14">
        <v>42919</v>
      </c>
      <c r="H45" s="14">
        <v>42919</v>
      </c>
      <c r="I45" s="14">
        <v>42962</v>
      </c>
      <c r="J45" s="13" t="s">
        <v>16</v>
      </c>
      <c r="K45" s="13" t="s">
        <v>98</v>
      </c>
      <c r="L45" s="31">
        <v>204775.86206896554</v>
      </c>
      <c r="M45" s="13" t="s">
        <v>20</v>
      </c>
    </row>
    <row r="46" spans="2:13" s="2" customFormat="1" ht="43.5" customHeight="1" x14ac:dyDescent="0.2">
      <c r="B46" s="13" t="s">
        <v>317</v>
      </c>
      <c r="C46" s="13" t="s">
        <v>68</v>
      </c>
      <c r="D46" s="13" t="s">
        <v>290</v>
      </c>
      <c r="E46" s="13" t="s">
        <v>306</v>
      </c>
      <c r="F46" s="13" t="s">
        <v>318</v>
      </c>
      <c r="G46" s="14">
        <v>42956</v>
      </c>
      <c r="H46" s="14">
        <v>42956</v>
      </c>
      <c r="I46" s="14"/>
      <c r="J46" s="13" t="s">
        <v>16</v>
      </c>
      <c r="K46" s="13" t="s">
        <v>98</v>
      </c>
      <c r="L46" s="31">
        <f>41524.06/1.16</f>
        <v>35796.603448275862</v>
      </c>
      <c r="M46" s="13" t="s">
        <v>20</v>
      </c>
    </row>
  </sheetData>
  <sortState ref="B8:M39">
    <sortCondition ref="B8:B39"/>
  </sortState>
  <mergeCells count="13">
    <mergeCell ref="L6:L7"/>
    <mergeCell ref="B2:L2"/>
    <mergeCell ref="B3:L3"/>
    <mergeCell ref="B4:L4"/>
    <mergeCell ref="B5:M5"/>
    <mergeCell ref="B6:B7"/>
    <mergeCell ref="C6:C7"/>
    <mergeCell ref="D6:D7"/>
    <mergeCell ref="E6:E7"/>
    <mergeCell ref="F6:F7"/>
    <mergeCell ref="G6:I6"/>
    <mergeCell ref="J6:J7"/>
    <mergeCell ref="K6:K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0"/>
  <sheetViews>
    <sheetView zoomScaleNormal="100" workbookViewId="0">
      <pane xSplit="5" ySplit="10" topLeftCell="F21" activePane="bottomRight" state="frozen"/>
      <selection activeCell="D46" sqref="D46"/>
      <selection pane="topRight" activeCell="D46" sqref="D46"/>
      <selection pane="bottomLeft" activeCell="D46" sqref="D46"/>
      <selection pane="bottomRight" activeCell="D46" sqref="D46"/>
    </sheetView>
  </sheetViews>
  <sheetFormatPr baseColWidth="10" defaultRowHeight="12" x14ac:dyDescent="0.2"/>
  <cols>
    <col min="1" max="1" width="18.140625" style="18" customWidth="1"/>
    <col min="2" max="2" width="17.42578125" style="18" customWidth="1"/>
    <col min="3" max="4" width="17.42578125" style="27" customWidth="1"/>
    <col min="5" max="5" width="17.42578125" style="18" customWidth="1"/>
    <col min="6" max="6" width="13.7109375" style="18" customWidth="1"/>
    <col min="7" max="7" width="11.42578125" style="18"/>
    <col min="8" max="8" width="16.42578125" style="18" customWidth="1"/>
    <col min="9" max="9" width="16.28515625" style="18" customWidth="1"/>
    <col min="10" max="10" width="14" style="18" customWidth="1"/>
    <col min="11" max="11" width="15.5703125" style="28" customWidth="1"/>
    <col min="12" max="12" width="11.42578125" style="29"/>
    <col min="13" max="16384" width="11.42578125" style="18"/>
  </cols>
  <sheetData>
    <row r="1" spans="1:12" x14ac:dyDescent="0.2">
      <c r="A1" s="19"/>
      <c r="B1" s="20"/>
      <c r="C1" s="15"/>
      <c r="D1" s="21"/>
      <c r="E1" s="22"/>
      <c r="F1" s="22"/>
      <c r="G1" s="22"/>
      <c r="H1" s="22"/>
      <c r="K1" s="23"/>
      <c r="L1" s="24"/>
    </row>
    <row r="2" spans="1:12" ht="1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4.25" x14ac:dyDescent="0.2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4.25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15" customHeight="1" x14ac:dyDescent="0.2">
      <c r="A5" s="87" t="s">
        <v>17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ht="15" x14ac:dyDescent="0.2">
      <c r="A6" s="33"/>
      <c r="B6" s="43"/>
      <c r="C6" s="33"/>
      <c r="D6" s="33"/>
      <c r="E6" s="33"/>
      <c r="F6" s="33"/>
      <c r="G6" s="25" t="s">
        <v>19</v>
      </c>
      <c r="H6" s="33"/>
      <c r="I6" s="33"/>
      <c r="J6" s="33"/>
      <c r="K6" s="33"/>
      <c r="L6" s="33"/>
    </row>
    <row r="7" spans="1:12" ht="15" x14ac:dyDescent="0.2">
      <c r="A7" s="33"/>
      <c r="B7" s="43"/>
      <c r="C7" s="33"/>
      <c r="D7" s="33"/>
      <c r="E7" s="33"/>
      <c r="F7" s="33"/>
      <c r="G7" s="25"/>
      <c r="H7" s="33"/>
      <c r="I7" s="33"/>
      <c r="J7" s="33"/>
      <c r="K7" s="33"/>
      <c r="L7" s="33"/>
    </row>
    <row r="8" spans="1:12" ht="18" customHeight="1" x14ac:dyDescent="0.2">
      <c r="A8" s="129" t="s">
        <v>27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ht="12" customHeight="1" x14ac:dyDescent="0.2">
      <c r="A9" s="124" t="s">
        <v>3</v>
      </c>
      <c r="B9" s="124" t="s">
        <v>4</v>
      </c>
      <c r="C9" s="124" t="s">
        <v>5</v>
      </c>
      <c r="D9" s="124" t="s">
        <v>6</v>
      </c>
      <c r="E9" s="124" t="s">
        <v>7</v>
      </c>
      <c r="F9" s="124" t="s">
        <v>8</v>
      </c>
      <c r="G9" s="124"/>
      <c r="H9" s="124"/>
      <c r="I9" s="125" t="s">
        <v>9</v>
      </c>
      <c r="J9" s="124" t="s">
        <v>10</v>
      </c>
      <c r="K9" s="126" t="s">
        <v>11</v>
      </c>
      <c r="L9" s="39" t="s">
        <v>15</v>
      </c>
    </row>
    <row r="10" spans="1:12" s="26" customFormat="1" x14ac:dyDescent="0.2">
      <c r="A10" s="124"/>
      <c r="B10" s="124"/>
      <c r="C10" s="124"/>
      <c r="D10" s="124"/>
      <c r="E10" s="124"/>
      <c r="F10" s="40" t="s">
        <v>12</v>
      </c>
      <c r="G10" s="40" t="s">
        <v>13</v>
      </c>
      <c r="H10" s="40" t="s">
        <v>14</v>
      </c>
      <c r="I10" s="125"/>
      <c r="J10" s="124"/>
      <c r="K10" s="126"/>
      <c r="L10" s="39"/>
    </row>
    <row r="11" spans="1:12" s="15" customFormat="1" ht="72" x14ac:dyDescent="0.2">
      <c r="A11" s="13" t="s">
        <v>111</v>
      </c>
      <c r="B11" s="13" t="s">
        <v>68</v>
      </c>
      <c r="C11" s="13" t="s">
        <v>112</v>
      </c>
      <c r="D11" s="13" t="s">
        <v>113</v>
      </c>
      <c r="E11" s="13" t="s">
        <v>298</v>
      </c>
      <c r="F11" s="14">
        <v>42797</v>
      </c>
      <c r="G11" s="14">
        <v>42800</v>
      </c>
      <c r="H11" s="14">
        <v>42859</v>
      </c>
      <c r="I11" s="13" t="s">
        <v>16</v>
      </c>
      <c r="J11" s="13" t="s">
        <v>98</v>
      </c>
      <c r="K11" s="31">
        <f>154500/1.16</f>
        <v>133189.6551724138</v>
      </c>
      <c r="L11" s="13" t="s">
        <v>20</v>
      </c>
    </row>
    <row r="12" spans="1:12" s="15" customFormat="1" ht="36" x14ac:dyDescent="0.2">
      <c r="A12" s="13" t="s">
        <v>140</v>
      </c>
      <c r="B12" s="13" t="s">
        <v>68</v>
      </c>
      <c r="C12" s="13" t="s">
        <v>141</v>
      </c>
      <c r="D12" s="13" t="s">
        <v>142</v>
      </c>
      <c r="E12" s="13" t="s">
        <v>143</v>
      </c>
      <c r="F12" s="14">
        <v>42804</v>
      </c>
      <c r="G12" s="14">
        <v>42804</v>
      </c>
      <c r="H12" s="14">
        <f>+G12+66</f>
        <v>42870</v>
      </c>
      <c r="I12" s="13" t="s">
        <v>16</v>
      </c>
      <c r="J12" s="13" t="s">
        <v>98</v>
      </c>
      <c r="K12" s="31">
        <f>11033.92/1.16</f>
        <v>9512</v>
      </c>
      <c r="L12" s="13" t="s">
        <v>73</v>
      </c>
    </row>
    <row r="13" spans="1:12" s="15" customFormat="1" ht="48" x14ac:dyDescent="0.2">
      <c r="A13" s="13" t="s">
        <v>225</v>
      </c>
      <c r="B13" s="13" t="s">
        <v>68</v>
      </c>
      <c r="C13" s="13" t="s">
        <v>226</v>
      </c>
      <c r="D13" s="13" t="s">
        <v>227</v>
      </c>
      <c r="E13" s="13" t="s">
        <v>294</v>
      </c>
      <c r="F13" s="14">
        <v>42809</v>
      </c>
      <c r="G13" s="14">
        <v>42809</v>
      </c>
      <c r="H13" s="14">
        <v>42879</v>
      </c>
      <c r="I13" s="13" t="s">
        <v>16</v>
      </c>
      <c r="J13" s="14" t="s">
        <v>98</v>
      </c>
      <c r="K13" s="31">
        <v>212800</v>
      </c>
      <c r="L13" s="13" t="s">
        <v>20</v>
      </c>
    </row>
    <row r="14" spans="1:12" s="15" customFormat="1" ht="36" x14ac:dyDescent="0.2">
      <c r="A14" s="13" t="s">
        <v>228</v>
      </c>
      <c r="B14" s="13" t="s">
        <v>68</v>
      </c>
      <c r="C14" s="13" t="s">
        <v>229</v>
      </c>
      <c r="D14" s="13" t="s">
        <v>230</v>
      </c>
      <c r="E14" s="13" t="s">
        <v>295</v>
      </c>
      <c r="F14" s="14">
        <v>42825</v>
      </c>
      <c r="G14" s="14">
        <v>42825</v>
      </c>
      <c r="H14" s="14">
        <v>42895</v>
      </c>
      <c r="I14" s="13" t="s">
        <v>16</v>
      </c>
      <c r="J14" s="14" t="s">
        <v>98</v>
      </c>
      <c r="K14" s="31">
        <v>10312.65</v>
      </c>
      <c r="L14" s="13" t="s">
        <v>73</v>
      </c>
    </row>
    <row r="15" spans="1:12" s="15" customFormat="1" ht="36" x14ac:dyDescent="0.2">
      <c r="A15" s="13" t="s">
        <v>245</v>
      </c>
      <c r="B15" s="13" t="s">
        <v>68</v>
      </c>
      <c r="C15" s="13" t="s">
        <v>141</v>
      </c>
      <c r="D15" s="13" t="s">
        <v>142</v>
      </c>
      <c r="E15" s="13" t="s">
        <v>296</v>
      </c>
      <c r="F15" s="14">
        <v>42885</v>
      </c>
      <c r="G15" s="14">
        <v>42885</v>
      </c>
      <c r="H15" s="14">
        <v>42969</v>
      </c>
      <c r="I15" s="13" t="s">
        <v>16</v>
      </c>
      <c r="J15" s="14" t="s">
        <v>98</v>
      </c>
      <c r="K15" s="31">
        <f>45136.76/1.16</f>
        <v>38911.000000000007</v>
      </c>
      <c r="L15" s="13" t="s">
        <v>73</v>
      </c>
    </row>
    <row r="16" spans="1:12" s="15" customFormat="1" ht="24" x14ac:dyDescent="0.2">
      <c r="A16" s="13" t="s">
        <v>278</v>
      </c>
      <c r="B16" s="13" t="s">
        <v>68</v>
      </c>
      <c r="C16" s="13" t="s">
        <v>291</v>
      </c>
      <c r="D16" s="13" t="s">
        <v>292</v>
      </c>
      <c r="E16" s="13" t="s">
        <v>297</v>
      </c>
      <c r="F16" s="14">
        <v>42895</v>
      </c>
      <c r="G16" s="14">
        <v>42895</v>
      </c>
      <c r="H16" s="14">
        <v>42905</v>
      </c>
      <c r="I16" s="13" t="s">
        <v>16</v>
      </c>
      <c r="J16" s="14" t="s">
        <v>98</v>
      </c>
      <c r="K16" s="31">
        <f>1368800/1.16</f>
        <v>1180000</v>
      </c>
      <c r="L16" s="13" t="s">
        <v>20</v>
      </c>
    </row>
    <row r="17" spans="1:12" s="15" customFormat="1" ht="24" x14ac:dyDescent="0.2">
      <c r="A17" s="13" t="s">
        <v>281</v>
      </c>
      <c r="B17" s="13" t="s">
        <v>68</v>
      </c>
      <c r="C17" s="13" t="s">
        <v>282</v>
      </c>
      <c r="D17" s="13" t="s">
        <v>293</v>
      </c>
      <c r="E17" s="13" t="s">
        <v>297</v>
      </c>
      <c r="F17" s="14">
        <v>42907</v>
      </c>
      <c r="G17" s="14">
        <v>42907</v>
      </c>
      <c r="H17" s="14">
        <v>42991</v>
      </c>
      <c r="I17" s="13" t="s">
        <v>16</v>
      </c>
      <c r="J17" s="14" t="s">
        <v>98</v>
      </c>
      <c r="K17" s="31">
        <f>1931.4/1.16</f>
        <v>1665.0000000000002</v>
      </c>
      <c r="L17" s="13" t="s">
        <v>73</v>
      </c>
    </row>
    <row r="18" spans="1:12" s="15" customFormat="1" ht="36" x14ac:dyDescent="0.2">
      <c r="A18" s="13" t="s">
        <v>299</v>
      </c>
      <c r="B18" s="13" t="s">
        <v>68</v>
      </c>
      <c r="C18" s="13" t="s">
        <v>300</v>
      </c>
      <c r="D18" s="13" t="s">
        <v>301</v>
      </c>
      <c r="E18" s="13" t="s">
        <v>302</v>
      </c>
      <c r="F18" s="14">
        <v>42927</v>
      </c>
      <c r="G18" s="14">
        <v>42927</v>
      </c>
      <c r="H18" s="14">
        <v>43017</v>
      </c>
      <c r="I18" s="13" t="s">
        <v>16</v>
      </c>
      <c r="J18" s="14" t="s">
        <v>98</v>
      </c>
      <c r="K18" s="31">
        <f>8500.19/1.16</f>
        <v>7327.7500000000009</v>
      </c>
      <c r="L18" s="13" t="s">
        <v>73</v>
      </c>
    </row>
    <row r="19" spans="1:12" s="15" customFormat="1" ht="48" x14ac:dyDescent="0.2">
      <c r="A19" s="13" t="s">
        <v>303</v>
      </c>
      <c r="B19" s="13" t="s">
        <v>68</v>
      </c>
      <c r="C19" s="13" t="s">
        <v>141</v>
      </c>
      <c r="D19" s="13" t="s">
        <v>304</v>
      </c>
      <c r="E19" s="13" t="s">
        <v>305</v>
      </c>
      <c r="F19" s="14">
        <v>42927</v>
      </c>
      <c r="G19" s="14">
        <v>42927</v>
      </c>
      <c r="H19" s="14">
        <v>42955</v>
      </c>
      <c r="I19" s="13" t="s">
        <v>16</v>
      </c>
      <c r="J19" s="14" t="s">
        <v>98</v>
      </c>
      <c r="K19" s="31">
        <f>13946.68/1.16</f>
        <v>12023.000000000002</v>
      </c>
      <c r="L19" s="13" t="s">
        <v>73</v>
      </c>
    </row>
    <row r="20" spans="1:12" s="15" customFormat="1" ht="48" x14ac:dyDescent="0.2">
      <c r="A20" s="13" t="s">
        <v>314</v>
      </c>
      <c r="B20" s="13" t="s">
        <v>68</v>
      </c>
      <c r="C20" s="13" t="s">
        <v>311</v>
      </c>
      <c r="D20" s="13" t="s">
        <v>313</v>
      </c>
      <c r="E20" s="13" t="s">
        <v>312</v>
      </c>
      <c r="F20" s="14">
        <v>42961</v>
      </c>
      <c r="G20" s="14">
        <v>42961</v>
      </c>
      <c r="H20" s="14">
        <v>42971</v>
      </c>
      <c r="I20" s="13" t="s">
        <v>16</v>
      </c>
      <c r="J20" s="13" t="s">
        <v>98</v>
      </c>
      <c r="K20" s="31">
        <v>35300</v>
      </c>
      <c r="L20" s="13" t="s">
        <v>20</v>
      </c>
    </row>
    <row r="21" spans="1:12" s="15" customFormat="1" x14ac:dyDescent="0.2">
      <c r="A21" s="20"/>
      <c r="B21" s="20"/>
      <c r="C21" s="20"/>
      <c r="D21" s="20"/>
      <c r="E21" s="20"/>
      <c r="F21" s="35"/>
      <c r="G21" s="35"/>
      <c r="H21" s="35"/>
      <c r="I21" s="20"/>
      <c r="J21" s="20"/>
      <c r="K21" s="36"/>
      <c r="L21" s="20"/>
    </row>
    <row r="22" spans="1:12" s="27" customFormat="1" ht="18" customHeight="1" x14ac:dyDescent="0.2">
      <c r="A22" s="20"/>
      <c r="B22" s="20"/>
      <c r="C22" s="20"/>
      <c r="D22" s="20"/>
      <c r="E22" s="20"/>
      <c r="F22" s="35"/>
      <c r="G22" s="35"/>
      <c r="H22" s="35"/>
      <c r="I22" s="20"/>
      <c r="J22" s="20"/>
      <c r="K22" s="36"/>
      <c r="L22" s="20"/>
    </row>
    <row r="23" spans="1:12" ht="12" customHeight="1" x14ac:dyDescent="0.2">
      <c r="A23" s="127" t="s">
        <v>28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s="26" customFormat="1" x14ac:dyDescent="0.2">
      <c r="A24" s="120" t="s">
        <v>3</v>
      </c>
      <c r="B24" s="120" t="s">
        <v>4</v>
      </c>
      <c r="C24" s="120" t="s">
        <v>5</v>
      </c>
      <c r="D24" s="120" t="s">
        <v>6</v>
      </c>
      <c r="E24" s="120" t="s">
        <v>7</v>
      </c>
      <c r="F24" s="115" t="s">
        <v>8</v>
      </c>
      <c r="G24" s="116"/>
      <c r="H24" s="117"/>
      <c r="I24" s="118" t="s">
        <v>9</v>
      </c>
      <c r="J24" s="120" t="s">
        <v>10</v>
      </c>
      <c r="K24" s="122" t="s">
        <v>11</v>
      </c>
      <c r="L24" s="41" t="s">
        <v>15</v>
      </c>
    </row>
    <row r="25" spans="1:12" s="15" customFormat="1" x14ac:dyDescent="0.2">
      <c r="A25" s="121"/>
      <c r="B25" s="121"/>
      <c r="C25" s="121"/>
      <c r="D25" s="121"/>
      <c r="E25" s="121"/>
      <c r="F25" s="34" t="s">
        <v>12</v>
      </c>
      <c r="G25" s="34" t="s">
        <v>13</v>
      </c>
      <c r="H25" s="34" t="s">
        <v>14</v>
      </c>
      <c r="I25" s="119"/>
      <c r="J25" s="121"/>
      <c r="K25" s="123"/>
      <c r="L25" s="41"/>
    </row>
    <row r="26" spans="1:12" s="15" customFormat="1" ht="24" x14ac:dyDescent="0.2">
      <c r="A26" s="13" t="s">
        <v>265</v>
      </c>
      <c r="B26" s="13" t="s">
        <v>68</v>
      </c>
      <c r="C26" s="13" t="s">
        <v>285</v>
      </c>
      <c r="D26" s="13" t="s">
        <v>286</v>
      </c>
      <c r="E26" s="13" t="s">
        <v>268</v>
      </c>
      <c r="F26" s="14">
        <v>42877</v>
      </c>
      <c r="G26" s="14">
        <v>42877</v>
      </c>
      <c r="H26" s="14">
        <v>42923</v>
      </c>
      <c r="I26" s="13" t="s">
        <v>16</v>
      </c>
      <c r="J26" s="13" t="s">
        <v>98</v>
      </c>
      <c r="K26" s="31">
        <f>257871.99/1.16</f>
        <v>222303.43965517243</v>
      </c>
      <c r="L26" s="13" t="s">
        <v>20</v>
      </c>
    </row>
    <row r="27" spans="1:12" s="15" customFormat="1" ht="36" x14ac:dyDescent="0.2">
      <c r="A27" s="13" t="s">
        <v>307</v>
      </c>
      <c r="B27" s="13" t="s">
        <v>68</v>
      </c>
      <c r="C27" s="13" t="s">
        <v>69</v>
      </c>
      <c r="D27" s="13" t="s">
        <v>308</v>
      </c>
      <c r="E27" s="13" t="s">
        <v>309</v>
      </c>
      <c r="F27" s="14">
        <v>42956</v>
      </c>
      <c r="G27" s="14">
        <v>42956</v>
      </c>
      <c r="H27" s="14">
        <v>42998</v>
      </c>
      <c r="I27" s="13" t="s">
        <v>16</v>
      </c>
      <c r="J27" s="13" t="s">
        <v>98</v>
      </c>
      <c r="K27" s="31">
        <f>2418.56/1.16</f>
        <v>2084.9655172413795</v>
      </c>
      <c r="L27" s="13" t="s">
        <v>73</v>
      </c>
    </row>
    <row r="28" spans="1:12" s="15" customFormat="1" ht="48" x14ac:dyDescent="0.2">
      <c r="A28" s="13" t="s">
        <v>315</v>
      </c>
      <c r="B28" s="13" t="s">
        <v>68</v>
      </c>
      <c r="C28" s="13" t="s">
        <v>282</v>
      </c>
      <c r="D28" s="13" t="s">
        <v>316</v>
      </c>
      <c r="E28" s="13" t="s">
        <v>310</v>
      </c>
      <c r="F28" s="14">
        <v>42957</v>
      </c>
      <c r="G28" s="14">
        <v>42957</v>
      </c>
      <c r="H28" s="14">
        <v>43017</v>
      </c>
      <c r="I28" s="13" t="s">
        <v>16</v>
      </c>
      <c r="J28" s="13" t="s">
        <v>98</v>
      </c>
      <c r="K28" s="31">
        <f>7709.36/1.16</f>
        <v>6646</v>
      </c>
      <c r="L28" s="13" t="s">
        <v>73</v>
      </c>
    </row>
    <row r="29" spans="1:12" s="15" customFormat="1" x14ac:dyDescent="0.2">
      <c r="A29" s="13"/>
      <c r="B29" s="13"/>
      <c r="C29" s="13"/>
      <c r="D29" s="13"/>
      <c r="E29" s="13"/>
      <c r="F29" s="14"/>
      <c r="G29" s="14"/>
      <c r="H29" s="14"/>
      <c r="I29" s="13"/>
      <c r="J29" s="13"/>
      <c r="K29" s="31"/>
      <c r="L29" s="13"/>
    </row>
    <row r="30" spans="1:12" s="15" customFormat="1" x14ac:dyDescent="0.2">
      <c r="A30" s="18"/>
      <c r="B30" s="18"/>
      <c r="C30" s="18"/>
      <c r="D30" s="18"/>
      <c r="E30" s="18"/>
      <c r="F30" s="32"/>
      <c r="G30" s="18"/>
      <c r="H30" s="18"/>
      <c r="I30" s="18"/>
      <c r="J30" s="18"/>
      <c r="K30" s="18"/>
      <c r="L30" s="18"/>
    </row>
    <row r="31" spans="1:12" s="15" customFormat="1" x14ac:dyDescent="0.2">
      <c r="A31" s="18"/>
      <c r="B31" s="18"/>
      <c r="C31" s="27"/>
      <c r="D31" s="27"/>
      <c r="E31" s="18"/>
      <c r="F31" s="18"/>
      <c r="G31" s="18"/>
      <c r="H31" s="18"/>
      <c r="I31" s="18"/>
      <c r="J31" s="18"/>
      <c r="K31" s="28"/>
      <c r="L31" s="29"/>
    </row>
    <row r="32" spans="1:12" s="15" customFormat="1" x14ac:dyDescent="0.2">
      <c r="A32" s="18"/>
      <c r="B32" s="18"/>
      <c r="C32" s="27"/>
      <c r="D32" s="27"/>
      <c r="E32" s="18"/>
      <c r="F32" s="18"/>
      <c r="G32" s="18"/>
      <c r="H32" s="18"/>
      <c r="I32" s="18"/>
      <c r="J32" s="18"/>
      <c r="K32" s="28"/>
      <c r="L32" s="29"/>
    </row>
    <row r="33" spans="1:12" s="15" customFormat="1" x14ac:dyDescent="0.2">
      <c r="A33" s="18"/>
      <c r="B33" s="18"/>
      <c r="C33" s="27"/>
      <c r="D33" s="27"/>
      <c r="E33" s="18"/>
      <c r="F33" s="18"/>
      <c r="G33" s="18"/>
      <c r="H33" s="18"/>
      <c r="I33" s="18"/>
      <c r="J33" s="18"/>
      <c r="K33" s="28"/>
      <c r="L33" s="29"/>
    </row>
    <row r="34" spans="1:12" s="15" customFormat="1" x14ac:dyDescent="0.2">
      <c r="A34" s="18"/>
      <c r="B34" s="18"/>
      <c r="C34" s="27"/>
      <c r="D34" s="27"/>
      <c r="E34" s="18"/>
      <c r="F34" s="18"/>
      <c r="G34" s="18"/>
      <c r="H34" s="18"/>
      <c r="I34" s="18"/>
      <c r="J34" s="18"/>
      <c r="K34" s="28"/>
      <c r="L34" s="29"/>
    </row>
    <row r="35" spans="1:12" s="15" customFormat="1" x14ac:dyDescent="0.2">
      <c r="A35" s="18"/>
      <c r="B35" s="18"/>
      <c r="C35" s="27"/>
      <c r="D35" s="27"/>
      <c r="E35" s="18"/>
      <c r="F35" s="18"/>
      <c r="G35" s="18"/>
      <c r="H35" s="18"/>
      <c r="I35" s="18"/>
      <c r="J35" s="18"/>
      <c r="K35" s="28"/>
      <c r="L35" s="29"/>
    </row>
    <row r="36" spans="1:12" s="15" customFormat="1" x14ac:dyDescent="0.2">
      <c r="A36" s="18"/>
      <c r="B36" s="18"/>
      <c r="C36" s="27"/>
      <c r="D36" s="27"/>
      <c r="E36" s="18"/>
      <c r="F36" s="18"/>
      <c r="G36" s="18"/>
      <c r="H36" s="18"/>
      <c r="I36" s="18"/>
      <c r="J36" s="18"/>
      <c r="K36" s="28"/>
      <c r="L36" s="29"/>
    </row>
    <row r="37" spans="1:12" s="15" customFormat="1" x14ac:dyDescent="0.2">
      <c r="A37" s="18"/>
      <c r="B37" s="18"/>
      <c r="C37" s="27"/>
      <c r="D37" s="27"/>
      <c r="E37" s="18"/>
      <c r="F37" s="18"/>
      <c r="G37" s="18"/>
      <c r="H37" s="18"/>
      <c r="I37" s="18"/>
      <c r="J37" s="18"/>
      <c r="K37" s="28"/>
      <c r="L37" s="29"/>
    </row>
    <row r="38" spans="1:12" s="15" customFormat="1" x14ac:dyDescent="0.2">
      <c r="A38" s="18"/>
      <c r="B38" s="18"/>
      <c r="C38" s="27"/>
      <c r="D38" s="27"/>
      <c r="E38" s="18"/>
      <c r="F38" s="18"/>
      <c r="G38" s="18"/>
      <c r="H38" s="18"/>
      <c r="I38" s="18"/>
      <c r="J38" s="18"/>
      <c r="K38" s="28"/>
      <c r="L38" s="29"/>
    </row>
    <row r="39" spans="1:12" s="15" customFormat="1" x14ac:dyDescent="0.2">
      <c r="A39" s="18"/>
      <c r="B39" s="18"/>
      <c r="C39" s="27"/>
      <c r="D39" s="27"/>
      <c r="E39" s="18"/>
      <c r="F39" s="18"/>
      <c r="G39" s="18"/>
      <c r="H39" s="18"/>
      <c r="I39" s="18"/>
      <c r="J39" s="18"/>
      <c r="K39" s="28"/>
      <c r="L39" s="29"/>
    </row>
    <row r="40" spans="1:12" s="15" customFormat="1" x14ac:dyDescent="0.2">
      <c r="A40" s="18"/>
      <c r="B40" s="18"/>
      <c r="C40" s="27"/>
      <c r="D40" s="27"/>
      <c r="E40" s="18"/>
      <c r="F40" s="18"/>
      <c r="G40" s="18"/>
      <c r="H40" s="18"/>
      <c r="I40" s="18"/>
      <c r="J40" s="18"/>
      <c r="K40" s="28"/>
      <c r="L40" s="29"/>
    </row>
    <row r="41" spans="1:12" s="15" customFormat="1" x14ac:dyDescent="0.2">
      <c r="A41" s="18"/>
      <c r="B41" s="18"/>
      <c r="C41" s="27"/>
      <c r="D41" s="27"/>
      <c r="E41" s="18"/>
      <c r="F41" s="18"/>
      <c r="G41" s="18"/>
      <c r="H41" s="18"/>
      <c r="I41" s="18"/>
      <c r="J41" s="18"/>
      <c r="K41" s="28"/>
      <c r="L41" s="29"/>
    </row>
    <row r="42" spans="1:12" s="15" customFormat="1" x14ac:dyDescent="0.2">
      <c r="A42" s="18"/>
      <c r="B42" s="18"/>
      <c r="C42" s="27"/>
      <c r="D42" s="27"/>
      <c r="E42" s="18"/>
      <c r="F42" s="18"/>
      <c r="G42" s="18"/>
      <c r="H42" s="18"/>
      <c r="I42" s="18"/>
      <c r="J42" s="18"/>
      <c r="K42" s="28"/>
      <c r="L42" s="29"/>
    </row>
    <row r="43" spans="1:12" s="15" customFormat="1" x14ac:dyDescent="0.2">
      <c r="A43" s="18"/>
      <c r="B43" s="18"/>
      <c r="C43" s="27"/>
      <c r="D43" s="27"/>
      <c r="E43" s="18"/>
      <c r="F43" s="18"/>
      <c r="G43" s="18"/>
      <c r="H43" s="18"/>
      <c r="I43" s="18"/>
      <c r="J43" s="18"/>
      <c r="K43" s="28"/>
      <c r="L43" s="29"/>
    </row>
    <row r="44" spans="1:12" s="15" customFormat="1" x14ac:dyDescent="0.2">
      <c r="A44" s="18"/>
      <c r="B44" s="18"/>
      <c r="C44" s="27"/>
      <c r="D44" s="27"/>
      <c r="E44" s="18"/>
      <c r="F44" s="18"/>
      <c r="G44" s="18"/>
      <c r="H44" s="18"/>
      <c r="I44" s="18"/>
      <c r="J44" s="18"/>
      <c r="K44" s="28"/>
      <c r="L44" s="29"/>
    </row>
    <row r="45" spans="1:12" s="15" customFormat="1" x14ac:dyDescent="0.2">
      <c r="A45" s="18"/>
      <c r="B45" s="18"/>
      <c r="C45" s="27"/>
      <c r="D45" s="27"/>
      <c r="E45" s="18"/>
      <c r="F45" s="18"/>
      <c r="G45" s="18"/>
      <c r="H45" s="18"/>
      <c r="I45" s="18"/>
      <c r="J45" s="18"/>
      <c r="K45" s="28"/>
      <c r="L45" s="29"/>
    </row>
    <row r="46" spans="1:12" s="15" customFormat="1" x14ac:dyDescent="0.2">
      <c r="A46" s="18"/>
      <c r="B46" s="18"/>
      <c r="C46" s="27"/>
      <c r="D46" s="27"/>
      <c r="E46" s="18"/>
      <c r="F46" s="18"/>
      <c r="G46" s="18"/>
      <c r="H46" s="18"/>
      <c r="I46" s="18"/>
      <c r="J46" s="18"/>
      <c r="K46" s="28"/>
      <c r="L46" s="29"/>
    </row>
    <row r="47" spans="1:12" s="15" customFormat="1" x14ac:dyDescent="0.2">
      <c r="A47" s="18"/>
      <c r="B47" s="18"/>
      <c r="C47" s="27"/>
      <c r="D47" s="27"/>
      <c r="E47" s="18"/>
      <c r="F47" s="18"/>
      <c r="G47" s="18"/>
      <c r="H47" s="18"/>
      <c r="I47" s="18"/>
      <c r="J47" s="18"/>
      <c r="K47" s="28"/>
      <c r="L47" s="29"/>
    </row>
    <row r="48" spans="1:12" s="15" customFormat="1" x14ac:dyDescent="0.2">
      <c r="A48" s="18"/>
      <c r="B48" s="18"/>
      <c r="C48" s="27"/>
      <c r="D48" s="27"/>
      <c r="E48" s="18"/>
      <c r="F48" s="18"/>
      <c r="G48" s="18"/>
      <c r="H48" s="18"/>
      <c r="I48" s="18"/>
      <c r="J48" s="18"/>
      <c r="K48" s="28"/>
      <c r="L48" s="29"/>
    </row>
    <row r="49" spans="1:12" s="15" customFormat="1" x14ac:dyDescent="0.2">
      <c r="A49" s="18"/>
      <c r="B49" s="18"/>
      <c r="C49" s="27"/>
      <c r="D49" s="27"/>
      <c r="E49" s="18"/>
      <c r="F49" s="18"/>
      <c r="G49" s="18"/>
      <c r="H49" s="18"/>
      <c r="I49" s="18"/>
      <c r="J49" s="18"/>
      <c r="K49" s="28"/>
      <c r="L49" s="29"/>
    </row>
    <row r="50" spans="1:12" s="15" customFormat="1" x14ac:dyDescent="0.2">
      <c r="A50" s="18"/>
      <c r="B50" s="18"/>
      <c r="C50" s="27"/>
      <c r="D50" s="27"/>
      <c r="E50" s="18"/>
      <c r="F50" s="18"/>
      <c r="G50" s="18"/>
      <c r="H50" s="18"/>
      <c r="I50" s="18"/>
      <c r="J50" s="18"/>
      <c r="K50" s="28"/>
      <c r="L50" s="29"/>
    </row>
    <row r="51" spans="1:12" s="15" customFormat="1" x14ac:dyDescent="0.2">
      <c r="A51" s="18"/>
      <c r="B51" s="18"/>
      <c r="C51" s="27"/>
      <c r="D51" s="27"/>
      <c r="E51" s="18"/>
      <c r="F51" s="18"/>
      <c r="G51" s="18"/>
      <c r="H51" s="18"/>
      <c r="I51" s="18"/>
      <c r="J51" s="18"/>
      <c r="K51" s="28"/>
      <c r="L51" s="29"/>
    </row>
    <row r="52" spans="1:12" s="15" customFormat="1" x14ac:dyDescent="0.2">
      <c r="A52" s="18"/>
      <c r="B52" s="18"/>
      <c r="C52" s="27"/>
      <c r="D52" s="27"/>
      <c r="E52" s="18"/>
      <c r="F52" s="18"/>
      <c r="G52" s="18"/>
      <c r="H52" s="18"/>
      <c r="I52" s="18"/>
      <c r="J52" s="18"/>
      <c r="K52" s="28"/>
      <c r="L52" s="29"/>
    </row>
    <row r="53" spans="1:12" s="15" customFormat="1" x14ac:dyDescent="0.2">
      <c r="A53" s="18"/>
      <c r="B53" s="18"/>
      <c r="C53" s="27"/>
      <c r="D53" s="27"/>
      <c r="E53" s="18"/>
      <c r="F53" s="18"/>
      <c r="G53" s="18"/>
      <c r="H53" s="18"/>
      <c r="I53" s="18"/>
      <c r="J53" s="18"/>
      <c r="K53" s="28"/>
      <c r="L53" s="29"/>
    </row>
    <row r="54" spans="1:12" s="15" customFormat="1" x14ac:dyDescent="0.2">
      <c r="A54" s="18"/>
      <c r="B54" s="18"/>
      <c r="C54" s="27"/>
      <c r="D54" s="27"/>
      <c r="E54" s="18"/>
      <c r="F54" s="18"/>
      <c r="G54" s="18"/>
      <c r="H54" s="18"/>
      <c r="I54" s="18"/>
      <c r="J54" s="18"/>
      <c r="K54" s="28"/>
      <c r="L54" s="29"/>
    </row>
    <row r="55" spans="1:12" s="15" customFormat="1" x14ac:dyDescent="0.2">
      <c r="A55" s="18"/>
      <c r="B55" s="18"/>
      <c r="C55" s="27"/>
      <c r="D55" s="27"/>
      <c r="E55" s="18"/>
      <c r="F55" s="18"/>
      <c r="G55" s="18"/>
      <c r="H55" s="18"/>
      <c r="I55" s="18"/>
      <c r="J55" s="18"/>
      <c r="K55" s="28"/>
      <c r="L55" s="29"/>
    </row>
    <row r="56" spans="1:12" s="15" customFormat="1" x14ac:dyDescent="0.2">
      <c r="A56" s="18"/>
      <c r="B56" s="18"/>
      <c r="C56" s="27"/>
      <c r="D56" s="27"/>
      <c r="E56" s="18"/>
      <c r="F56" s="18"/>
      <c r="G56" s="18"/>
      <c r="H56" s="18"/>
      <c r="I56" s="18"/>
      <c r="J56" s="18"/>
      <c r="K56" s="28"/>
      <c r="L56" s="29"/>
    </row>
    <row r="57" spans="1:12" s="15" customFormat="1" x14ac:dyDescent="0.2">
      <c r="A57" s="18"/>
      <c r="B57" s="18"/>
      <c r="C57" s="27"/>
      <c r="D57" s="27"/>
      <c r="E57" s="18"/>
      <c r="F57" s="18"/>
      <c r="G57" s="18"/>
      <c r="H57" s="18"/>
      <c r="I57" s="18"/>
      <c r="J57" s="18"/>
      <c r="K57" s="28"/>
      <c r="L57" s="29"/>
    </row>
    <row r="58" spans="1:12" s="15" customFormat="1" x14ac:dyDescent="0.2">
      <c r="A58" s="18"/>
      <c r="B58" s="18"/>
      <c r="C58" s="27"/>
      <c r="D58" s="27"/>
      <c r="E58" s="18"/>
      <c r="F58" s="18"/>
      <c r="G58" s="18"/>
      <c r="H58" s="18"/>
      <c r="I58" s="18"/>
      <c r="J58" s="18"/>
      <c r="K58" s="28"/>
      <c r="L58" s="29"/>
    </row>
    <row r="59" spans="1:12" s="15" customFormat="1" x14ac:dyDescent="0.2">
      <c r="A59" s="18"/>
      <c r="B59" s="18"/>
      <c r="C59" s="27"/>
      <c r="D59" s="27"/>
      <c r="E59" s="18"/>
      <c r="F59" s="18"/>
      <c r="G59" s="18"/>
      <c r="H59" s="18"/>
      <c r="I59" s="18"/>
      <c r="J59" s="18"/>
      <c r="K59" s="28"/>
      <c r="L59" s="29"/>
    </row>
    <row r="60" spans="1:12" s="15" customFormat="1" x14ac:dyDescent="0.2">
      <c r="A60" s="18"/>
      <c r="B60" s="18"/>
      <c r="C60" s="27"/>
      <c r="D60" s="27"/>
      <c r="E60" s="18"/>
      <c r="F60" s="18"/>
      <c r="G60" s="18"/>
      <c r="H60" s="18"/>
      <c r="I60" s="18"/>
      <c r="J60" s="18"/>
      <c r="K60" s="28"/>
      <c r="L60" s="29"/>
    </row>
  </sheetData>
  <mergeCells count="24">
    <mergeCell ref="A8:L8"/>
    <mergeCell ref="A2:L2"/>
    <mergeCell ref="A3:L3"/>
    <mergeCell ref="A4:L4"/>
    <mergeCell ref="A5:L5"/>
    <mergeCell ref="F9:H9"/>
    <mergeCell ref="I9:I10"/>
    <mergeCell ref="J9:J10"/>
    <mergeCell ref="K9:K10"/>
    <mergeCell ref="A23:L23"/>
    <mergeCell ref="A9:A10"/>
    <mergeCell ref="B9:B10"/>
    <mergeCell ref="C9:C10"/>
    <mergeCell ref="D9:D10"/>
    <mergeCell ref="E9:E10"/>
    <mergeCell ref="F24:H24"/>
    <mergeCell ref="I24:I25"/>
    <mergeCell ref="J24:J25"/>
    <mergeCell ref="K24:K25"/>
    <mergeCell ref="A24:A25"/>
    <mergeCell ref="B24:B25"/>
    <mergeCell ref="C24:C25"/>
    <mergeCell ref="D24:D25"/>
    <mergeCell ref="E24:E25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workbookViewId="0">
      <pane xSplit="5" ySplit="10" topLeftCell="K15" activePane="bottomRight" state="frozen"/>
      <selection activeCell="D46" sqref="D46"/>
      <selection pane="topRight" activeCell="D46" sqref="D46"/>
      <selection pane="bottomLeft" activeCell="D46" sqref="D46"/>
      <selection pane="bottomRight" activeCell="D46" sqref="D46"/>
    </sheetView>
  </sheetViews>
  <sheetFormatPr baseColWidth="10" defaultRowHeight="12.75" x14ac:dyDescent="0.2"/>
  <cols>
    <col min="1" max="1" width="16.85546875" customWidth="1"/>
    <col min="2" max="2" width="10.42578125" customWidth="1"/>
    <col min="3" max="5" width="20.140625" customWidth="1"/>
    <col min="6" max="8" width="12" customWidth="1"/>
    <col min="11" max="11" width="13.140625" bestFit="1" customWidth="1"/>
    <col min="12" max="12" width="12.140625" bestFit="1" customWidth="1"/>
    <col min="14" max="15" width="13.28515625" customWidth="1"/>
  </cols>
  <sheetData>
    <row r="1" spans="1:17" s="18" customFormat="1" ht="12" x14ac:dyDescent="0.2">
      <c r="A1" s="19"/>
      <c r="B1" s="20"/>
      <c r="C1" s="15"/>
      <c r="D1" s="21"/>
      <c r="E1" s="22"/>
      <c r="F1" s="22"/>
      <c r="G1" s="22"/>
      <c r="H1" s="22"/>
      <c r="K1" s="23"/>
      <c r="L1" s="23"/>
      <c r="M1" s="24"/>
      <c r="N1" s="24"/>
      <c r="O1" s="24"/>
      <c r="P1" s="15"/>
      <c r="Q1" s="15"/>
    </row>
    <row r="2" spans="1:17" s="18" customFormat="1" ht="1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s="18" customFormat="1" ht="14.25" x14ac:dyDescent="0.2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7" s="18" customFormat="1" ht="14.25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7" s="18" customFormat="1" ht="15" x14ac:dyDescent="0.2">
      <c r="A5" s="87" t="s">
        <v>263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7" s="18" customFormat="1" ht="15" x14ac:dyDescent="0.2">
      <c r="A6" s="50"/>
      <c r="B6" s="50"/>
      <c r="C6" s="50"/>
      <c r="D6" s="50"/>
      <c r="E6" s="50"/>
      <c r="F6" s="50"/>
      <c r="G6" s="25" t="s">
        <v>19</v>
      </c>
      <c r="H6" s="50"/>
      <c r="I6" s="50"/>
      <c r="J6" s="50"/>
      <c r="K6" s="50"/>
      <c r="L6" s="50"/>
      <c r="M6" s="50"/>
      <c r="N6" s="50"/>
      <c r="O6" s="50"/>
      <c r="P6" s="15"/>
      <c r="Q6" s="15"/>
    </row>
    <row r="7" spans="1:17" s="18" customFormat="1" ht="15" x14ac:dyDescent="0.2">
      <c r="A7" s="50"/>
      <c r="B7" s="50"/>
      <c r="C7" s="50"/>
      <c r="D7" s="50"/>
      <c r="E7" s="50"/>
      <c r="F7" s="50"/>
      <c r="G7" s="25"/>
      <c r="H7" s="50"/>
      <c r="I7" s="50"/>
      <c r="J7" s="50"/>
      <c r="K7" s="50"/>
      <c r="L7" s="50"/>
      <c r="M7" s="50"/>
      <c r="N7" s="50"/>
      <c r="O7" s="50"/>
      <c r="P7" s="15"/>
      <c r="Q7" s="15"/>
    </row>
    <row r="8" spans="1:17" s="18" customFormat="1" ht="12" x14ac:dyDescent="0.2">
      <c r="M8" s="52" t="s">
        <v>250</v>
      </c>
      <c r="N8" s="18">
        <v>19</v>
      </c>
      <c r="P8" s="15"/>
      <c r="Q8" s="15"/>
    </row>
    <row r="9" spans="1:17" s="18" customFormat="1" ht="23.25" customHeight="1" x14ac:dyDescent="0.2">
      <c r="A9" s="94" t="s">
        <v>31</v>
      </c>
      <c r="B9" s="94" t="s">
        <v>4</v>
      </c>
      <c r="C9" s="94" t="s">
        <v>5</v>
      </c>
      <c r="D9" s="90" t="s">
        <v>6</v>
      </c>
      <c r="E9" s="90" t="s">
        <v>7</v>
      </c>
      <c r="F9" s="95" t="s">
        <v>8</v>
      </c>
      <c r="G9" s="96"/>
      <c r="H9" s="97"/>
      <c r="I9" s="88" t="s">
        <v>9</v>
      </c>
      <c r="J9" s="90" t="s">
        <v>10</v>
      </c>
      <c r="K9" s="92" t="s">
        <v>11</v>
      </c>
      <c r="L9" s="92" t="s">
        <v>30</v>
      </c>
      <c r="M9" s="98" t="s">
        <v>15</v>
      </c>
      <c r="N9" s="92" t="s">
        <v>251</v>
      </c>
      <c r="O9" s="92" t="s">
        <v>252</v>
      </c>
      <c r="P9" s="94" t="s">
        <v>26</v>
      </c>
      <c r="Q9" s="94" t="s">
        <v>260</v>
      </c>
    </row>
    <row r="10" spans="1:17" s="42" customFormat="1" ht="23.25" customHeight="1" x14ac:dyDescent="0.2">
      <c r="A10" s="90"/>
      <c r="B10" s="90"/>
      <c r="C10" s="90"/>
      <c r="D10" s="91"/>
      <c r="E10" s="91"/>
      <c r="F10" s="51" t="s">
        <v>12</v>
      </c>
      <c r="G10" s="51" t="s">
        <v>13</v>
      </c>
      <c r="H10" s="51" t="s">
        <v>14</v>
      </c>
      <c r="I10" s="89"/>
      <c r="J10" s="91"/>
      <c r="K10" s="93"/>
      <c r="L10" s="93"/>
      <c r="M10" s="130"/>
      <c r="N10" s="93"/>
      <c r="O10" s="93"/>
      <c r="P10" s="90"/>
      <c r="Q10" s="90"/>
    </row>
    <row r="11" spans="1:17" s="15" customFormat="1" ht="36" x14ac:dyDescent="0.2">
      <c r="A11" s="13" t="s">
        <v>140</v>
      </c>
      <c r="B11" s="13" t="s">
        <v>68</v>
      </c>
      <c r="C11" s="13" t="s">
        <v>141</v>
      </c>
      <c r="D11" s="13" t="s">
        <v>253</v>
      </c>
      <c r="E11" s="13" t="s">
        <v>247</v>
      </c>
      <c r="F11" s="14">
        <v>42804</v>
      </c>
      <c r="G11" s="14">
        <v>42804</v>
      </c>
      <c r="H11" s="14">
        <v>42870</v>
      </c>
      <c r="I11" s="13" t="s">
        <v>16</v>
      </c>
      <c r="J11" s="13" t="s">
        <v>98</v>
      </c>
      <c r="K11" s="31">
        <f>11033.92/1.16</f>
        <v>9512</v>
      </c>
      <c r="L11" s="30">
        <f>+K11*1.16</f>
        <v>11033.92</v>
      </c>
      <c r="M11" s="13" t="s">
        <v>249</v>
      </c>
      <c r="N11" s="46">
        <f>IF(M11="MN",K11,(K11*$N$8))</f>
        <v>180728</v>
      </c>
      <c r="O11" s="30">
        <f>+N11*1.16</f>
        <v>209644.47999999998</v>
      </c>
      <c r="P11" s="13" t="s">
        <v>131</v>
      </c>
      <c r="Q11" s="13" t="s">
        <v>261</v>
      </c>
    </row>
    <row r="12" spans="1:17" s="15" customFormat="1" ht="36" x14ac:dyDescent="0.2">
      <c r="A12" s="13" t="s">
        <v>225</v>
      </c>
      <c r="B12" s="13" t="s">
        <v>68</v>
      </c>
      <c r="C12" s="13" t="s">
        <v>226</v>
      </c>
      <c r="D12" s="13" t="s">
        <v>255</v>
      </c>
      <c r="E12" s="13" t="s">
        <v>254</v>
      </c>
      <c r="F12" s="14">
        <v>42809</v>
      </c>
      <c r="G12" s="14">
        <f>+F12</f>
        <v>42809</v>
      </c>
      <c r="H12" s="14">
        <v>42879</v>
      </c>
      <c r="I12" s="13" t="s">
        <v>16</v>
      </c>
      <c r="J12" s="13" t="s">
        <v>98</v>
      </c>
      <c r="K12" s="31">
        <f>246848/1.16</f>
        <v>212800.00000000003</v>
      </c>
      <c r="L12" s="30">
        <f t="shared" ref="L12:L14" si="0">+K12*1.16</f>
        <v>246848.00000000003</v>
      </c>
      <c r="M12" s="13" t="s">
        <v>256</v>
      </c>
      <c r="N12" s="46">
        <f>IF(M12="MN",K12,(K12*$N$8))</f>
        <v>212800.00000000003</v>
      </c>
      <c r="O12" s="30">
        <f t="shared" ref="O12:O16" si="1">+N12*1.16</f>
        <v>246848.00000000003</v>
      </c>
      <c r="P12" s="13" t="s">
        <v>101</v>
      </c>
      <c r="Q12" s="13" t="s">
        <v>262</v>
      </c>
    </row>
    <row r="13" spans="1:17" s="15" customFormat="1" ht="36" x14ac:dyDescent="0.2">
      <c r="A13" s="13" t="s">
        <v>228</v>
      </c>
      <c r="B13" s="13" t="s">
        <v>68</v>
      </c>
      <c r="C13" s="13" t="s">
        <v>257</v>
      </c>
      <c r="D13" s="13" t="s">
        <v>258</v>
      </c>
      <c r="E13" s="13" t="s">
        <v>259</v>
      </c>
      <c r="F13" s="14">
        <v>42886</v>
      </c>
      <c r="G13" s="14">
        <v>42886</v>
      </c>
      <c r="H13" s="14">
        <v>42895</v>
      </c>
      <c r="I13" s="13" t="s">
        <v>16</v>
      </c>
      <c r="J13" s="13" t="s">
        <v>98</v>
      </c>
      <c r="K13" s="31">
        <f>11962.77/1.16</f>
        <v>10312.73275862069</v>
      </c>
      <c r="L13" s="30">
        <f t="shared" si="0"/>
        <v>11962.77</v>
      </c>
      <c r="M13" s="13" t="s">
        <v>249</v>
      </c>
      <c r="N13" s="46">
        <f t="shared" ref="N13:N16" si="2">IF(M13="MN",K13,(K13*$N$8))</f>
        <v>195941.9224137931</v>
      </c>
      <c r="O13" s="30">
        <f t="shared" si="1"/>
        <v>227292.62999999998</v>
      </c>
      <c r="P13" s="13" t="s">
        <v>131</v>
      </c>
      <c r="Q13" s="13" t="s">
        <v>261</v>
      </c>
    </row>
    <row r="14" spans="1:17" s="15" customFormat="1" ht="36" x14ac:dyDescent="0.2">
      <c r="A14" s="13" t="s">
        <v>245</v>
      </c>
      <c r="B14" s="13" t="s">
        <v>68</v>
      </c>
      <c r="C14" s="13" t="s">
        <v>141</v>
      </c>
      <c r="D14" s="13" t="s">
        <v>246</v>
      </c>
      <c r="E14" s="13" t="s">
        <v>247</v>
      </c>
      <c r="F14" s="14">
        <v>42885</v>
      </c>
      <c r="G14" s="14">
        <v>42885</v>
      </c>
      <c r="H14" s="14" t="s">
        <v>248</v>
      </c>
      <c r="I14" s="13" t="s">
        <v>16</v>
      </c>
      <c r="J14" s="13" t="s">
        <v>98</v>
      </c>
      <c r="K14" s="31">
        <f t="shared" ref="K14" si="3">45136.76/1.16</f>
        <v>38911.000000000007</v>
      </c>
      <c r="L14" s="30">
        <f t="shared" si="0"/>
        <v>45136.76</v>
      </c>
      <c r="M14" s="13" t="s">
        <v>249</v>
      </c>
      <c r="N14" s="46">
        <f t="shared" si="2"/>
        <v>739309.00000000012</v>
      </c>
      <c r="O14" s="30">
        <f t="shared" si="1"/>
        <v>857598.44000000006</v>
      </c>
      <c r="P14" s="13" t="s">
        <v>131</v>
      </c>
      <c r="Q14" s="13" t="s">
        <v>261</v>
      </c>
    </row>
    <row r="15" spans="1:17" s="15" customFormat="1" ht="24" x14ac:dyDescent="0.2">
      <c r="A15" s="13" t="s">
        <v>278</v>
      </c>
      <c r="B15" s="13" t="s">
        <v>68</v>
      </c>
      <c r="C15" s="13" t="s">
        <v>279</v>
      </c>
      <c r="D15" s="13" t="s">
        <v>280</v>
      </c>
      <c r="E15" s="13" t="s">
        <v>259</v>
      </c>
      <c r="F15" s="14">
        <v>42895</v>
      </c>
      <c r="G15" s="14">
        <v>42895</v>
      </c>
      <c r="H15" s="14">
        <v>37061</v>
      </c>
      <c r="I15" s="13" t="s">
        <v>16</v>
      </c>
      <c r="J15" s="13" t="s">
        <v>98</v>
      </c>
      <c r="K15" s="31">
        <f>1368800/1.16</f>
        <v>1180000</v>
      </c>
      <c r="L15" s="30">
        <f>+K15*1.16</f>
        <v>1368800</v>
      </c>
      <c r="M15" s="13" t="s">
        <v>256</v>
      </c>
      <c r="N15" s="46">
        <f t="shared" si="2"/>
        <v>1180000</v>
      </c>
      <c r="O15" s="30">
        <f t="shared" si="1"/>
        <v>1368800</v>
      </c>
      <c r="P15" s="13" t="s">
        <v>131</v>
      </c>
      <c r="Q15" s="13" t="s">
        <v>261</v>
      </c>
    </row>
    <row r="16" spans="1:17" s="15" customFormat="1" ht="24" x14ac:dyDescent="0.2">
      <c r="A16" s="13" t="s">
        <v>281</v>
      </c>
      <c r="B16" s="13" t="s">
        <v>68</v>
      </c>
      <c r="C16" s="13" t="s">
        <v>282</v>
      </c>
      <c r="D16" s="13" t="s">
        <v>283</v>
      </c>
      <c r="E16" s="13" t="s">
        <v>284</v>
      </c>
      <c r="F16" s="14">
        <v>42907</v>
      </c>
      <c r="G16" s="14">
        <v>42907</v>
      </c>
      <c r="H16" s="14">
        <v>42991</v>
      </c>
      <c r="I16" s="13" t="s">
        <v>16</v>
      </c>
      <c r="J16" s="13" t="s">
        <v>98</v>
      </c>
      <c r="K16" s="31">
        <f>1931.4/1.16</f>
        <v>1665.0000000000002</v>
      </c>
      <c r="L16" s="30">
        <f>+K16*1.16</f>
        <v>1931.4</v>
      </c>
      <c r="M16" s="13" t="s">
        <v>249</v>
      </c>
      <c r="N16" s="46">
        <f t="shared" si="2"/>
        <v>31635.000000000004</v>
      </c>
      <c r="O16" s="30">
        <f t="shared" si="1"/>
        <v>36696.6</v>
      </c>
      <c r="P16" s="13" t="s">
        <v>131</v>
      </c>
      <c r="Q16" s="13" t="s">
        <v>261</v>
      </c>
    </row>
    <row r="17" spans="1:17" s="15" customFormat="1" ht="12" x14ac:dyDescent="0.2">
      <c r="A17" s="13"/>
      <c r="B17" s="13"/>
      <c r="C17" s="13"/>
      <c r="D17" s="13"/>
      <c r="E17" s="13"/>
      <c r="F17" s="14"/>
      <c r="G17" s="14"/>
      <c r="H17" s="14"/>
      <c r="I17" s="13"/>
      <c r="J17" s="13"/>
      <c r="K17" s="31"/>
      <c r="L17" s="30"/>
      <c r="M17" s="13"/>
      <c r="N17" s="46"/>
      <c r="O17" s="30"/>
      <c r="P17" s="13"/>
      <c r="Q17" s="13"/>
    </row>
    <row r="18" spans="1:17" s="15" customFormat="1" ht="12" x14ac:dyDescent="0.2">
      <c r="A18" s="13"/>
      <c r="B18" s="13"/>
      <c r="C18" s="13"/>
      <c r="D18" s="13"/>
      <c r="E18" s="13"/>
      <c r="F18" s="14"/>
      <c r="G18" s="14"/>
      <c r="H18" s="14"/>
      <c r="I18" s="13"/>
      <c r="J18" s="13"/>
      <c r="K18" s="31"/>
      <c r="L18" s="30"/>
      <c r="M18" s="13"/>
      <c r="N18" s="46"/>
      <c r="O18" s="30"/>
      <c r="P18" s="13"/>
      <c r="Q18" s="13"/>
    </row>
    <row r="19" spans="1:17" s="15" customFormat="1" ht="12" x14ac:dyDescent="0.2">
      <c r="A19" s="13"/>
      <c r="B19" s="13"/>
      <c r="C19" s="13"/>
      <c r="D19" s="13"/>
      <c r="E19" s="13"/>
      <c r="F19" s="14"/>
      <c r="G19" s="14"/>
      <c r="H19" s="14"/>
      <c r="I19" s="13"/>
      <c r="J19" s="13"/>
      <c r="K19" s="31"/>
      <c r="L19" s="30"/>
      <c r="M19" s="13"/>
      <c r="N19" s="46"/>
      <c r="O19" s="30"/>
      <c r="P19" s="13"/>
      <c r="Q19" s="13"/>
    </row>
    <row r="20" spans="1:17" s="15" customFormat="1" ht="12" x14ac:dyDescent="0.2">
      <c r="A20" s="13"/>
      <c r="B20" s="13"/>
      <c r="C20" s="13"/>
      <c r="D20" s="13"/>
      <c r="E20" s="13"/>
      <c r="F20" s="14"/>
      <c r="G20" s="14"/>
      <c r="H20" s="14"/>
      <c r="I20" s="13"/>
      <c r="J20" s="13"/>
      <c r="K20" s="31"/>
      <c r="L20" s="30"/>
      <c r="M20" s="13"/>
      <c r="N20" s="46"/>
      <c r="O20" s="30"/>
      <c r="P20" s="13"/>
      <c r="Q20" s="13"/>
    </row>
    <row r="21" spans="1:17" s="15" customFormat="1" ht="12" x14ac:dyDescent="0.2">
      <c r="A21" s="13"/>
      <c r="B21" s="13"/>
      <c r="C21" s="13"/>
      <c r="D21" s="13"/>
      <c r="E21" s="13"/>
      <c r="F21" s="14"/>
      <c r="G21" s="14"/>
      <c r="H21" s="14"/>
      <c r="I21" s="13"/>
      <c r="J21" s="13"/>
      <c r="K21" s="31"/>
      <c r="L21" s="30"/>
      <c r="M21" s="13"/>
      <c r="N21" s="46"/>
      <c r="O21" s="30"/>
      <c r="P21" s="13"/>
      <c r="Q21" s="13"/>
    </row>
  </sheetData>
  <mergeCells count="19">
    <mergeCell ref="A2:O2"/>
    <mergeCell ref="A3:O3"/>
    <mergeCell ref="A4:O4"/>
    <mergeCell ref="A5:O5"/>
    <mergeCell ref="A9:A10"/>
    <mergeCell ref="B9:B10"/>
    <mergeCell ref="C9:C10"/>
    <mergeCell ref="D9:D10"/>
    <mergeCell ref="E9:E10"/>
    <mergeCell ref="F9:H9"/>
    <mergeCell ref="L9:L10"/>
    <mergeCell ref="Q9:Q10"/>
    <mergeCell ref="P9:P10"/>
    <mergeCell ref="I9:I10"/>
    <mergeCell ref="J9:J10"/>
    <mergeCell ref="K9:K10"/>
    <mergeCell ref="M9:M10"/>
    <mergeCell ref="N9:N10"/>
    <mergeCell ref="O9:O10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workbookViewId="0">
      <pane xSplit="5" ySplit="10" topLeftCell="J11" activePane="bottomRight" state="frozen"/>
      <selection activeCell="D46" sqref="D46"/>
      <selection pane="topRight" activeCell="D46" sqref="D46"/>
      <selection pane="bottomLeft" activeCell="D46" sqref="D46"/>
      <selection pane="bottomRight" activeCell="D46" sqref="D46"/>
    </sheetView>
  </sheetViews>
  <sheetFormatPr baseColWidth="10" defaultRowHeight="12.75" x14ac:dyDescent="0.2"/>
  <cols>
    <col min="1" max="1" width="16.85546875" customWidth="1"/>
    <col min="2" max="2" width="10.42578125" customWidth="1"/>
    <col min="3" max="5" width="20.140625" customWidth="1"/>
    <col min="6" max="8" width="12" customWidth="1"/>
    <col min="11" max="11" width="11.7109375" bestFit="1" customWidth="1"/>
    <col min="14" max="14" width="13.140625" bestFit="1" customWidth="1"/>
  </cols>
  <sheetData>
    <row r="1" spans="1:17" s="18" customFormat="1" ht="12" x14ac:dyDescent="0.2">
      <c r="A1" s="19"/>
      <c r="B1" s="20"/>
      <c r="C1" s="15"/>
      <c r="D1" s="21"/>
      <c r="E1" s="22"/>
      <c r="F1" s="22"/>
      <c r="G1" s="22"/>
      <c r="H1" s="22"/>
      <c r="K1" s="23"/>
      <c r="L1" s="23"/>
      <c r="M1" s="24"/>
      <c r="N1" s="24"/>
      <c r="O1" s="24"/>
      <c r="P1" s="15"/>
      <c r="Q1" s="15"/>
    </row>
    <row r="2" spans="1:17" s="18" customFormat="1" ht="1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s="18" customFormat="1" ht="14.25" x14ac:dyDescent="0.2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7" s="18" customFormat="1" ht="14.25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7" s="18" customFormat="1" ht="15" x14ac:dyDescent="0.2">
      <c r="A5" s="87" t="s">
        <v>264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7" s="18" customFormat="1" ht="15" x14ac:dyDescent="0.2">
      <c r="A6" s="50"/>
      <c r="B6" s="50"/>
      <c r="C6" s="50"/>
      <c r="D6" s="50"/>
      <c r="E6" s="50"/>
      <c r="F6" s="50"/>
      <c r="G6" s="25" t="s">
        <v>19</v>
      </c>
      <c r="H6" s="50"/>
      <c r="I6" s="50"/>
      <c r="J6" s="50"/>
      <c r="K6" s="50"/>
      <c r="L6" s="50"/>
      <c r="M6" s="50"/>
      <c r="N6" s="50"/>
      <c r="O6" s="50"/>
      <c r="P6" s="15"/>
      <c r="Q6" s="15"/>
    </row>
    <row r="7" spans="1:17" s="18" customFormat="1" ht="15" x14ac:dyDescent="0.2">
      <c r="A7" s="50"/>
      <c r="B7" s="50"/>
      <c r="C7" s="50"/>
      <c r="D7" s="50"/>
      <c r="E7" s="50"/>
      <c r="F7" s="50"/>
      <c r="G7" s="25"/>
      <c r="H7" s="50"/>
      <c r="I7" s="50"/>
      <c r="J7" s="50"/>
      <c r="K7" s="50"/>
      <c r="L7" s="50"/>
      <c r="M7" s="50"/>
      <c r="N7" s="50"/>
      <c r="O7" s="50"/>
      <c r="P7" s="15"/>
      <c r="Q7" s="15"/>
    </row>
    <row r="8" spans="1:17" s="18" customFormat="1" ht="12" x14ac:dyDescent="0.2">
      <c r="M8" s="52" t="s">
        <v>250</v>
      </c>
      <c r="N8" s="18">
        <v>19</v>
      </c>
      <c r="P8" s="15"/>
      <c r="Q8" s="15"/>
    </row>
    <row r="9" spans="1:17" s="18" customFormat="1" ht="23.25" customHeight="1" x14ac:dyDescent="0.2">
      <c r="A9" s="94" t="s">
        <v>31</v>
      </c>
      <c r="B9" s="94" t="s">
        <v>4</v>
      </c>
      <c r="C9" s="94" t="s">
        <v>5</v>
      </c>
      <c r="D9" s="90" t="s">
        <v>6</v>
      </c>
      <c r="E9" s="90" t="s">
        <v>7</v>
      </c>
      <c r="F9" s="95" t="s">
        <v>8</v>
      </c>
      <c r="G9" s="96"/>
      <c r="H9" s="97"/>
      <c r="I9" s="88" t="s">
        <v>9</v>
      </c>
      <c r="J9" s="90" t="s">
        <v>10</v>
      </c>
      <c r="K9" s="92" t="s">
        <v>11</v>
      </c>
      <c r="L9" s="92" t="s">
        <v>30</v>
      </c>
      <c r="M9" s="98" t="s">
        <v>15</v>
      </c>
      <c r="N9" s="92" t="s">
        <v>251</v>
      </c>
      <c r="O9" s="92" t="s">
        <v>252</v>
      </c>
      <c r="P9" s="94" t="s">
        <v>26</v>
      </c>
      <c r="Q9" s="94" t="s">
        <v>260</v>
      </c>
    </row>
    <row r="10" spans="1:17" s="42" customFormat="1" ht="23.25" customHeight="1" x14ac:dyDescent="0.2">
      <c r="A10" s="90"/>
      <c r="B10" s="90"/>
      <c r="C10" s="90"/>
      <c r="D10" s="91"/>
      <c r="E10" s="91"/>
      <c r="F10" s="51" t="s">
        <v>12</v>
      </c>
      <c r="G10" s="51" t="s">
        <v>13</v>
      </c>
      <c r="H10" s="51" t="s">
        <v>14</v>
      </c>
      <c r="I10" s="89"/>
      <c r="J10" s="91"/>
      <c r="K10" s="93"/>
      <c r="L10" s="93"/>
      <c r="M10" s="130"/>
      <c r="N10" s="93"/>
      <c r="O10" s="93"/>
      <c r="P10" s="90"/>
      <c r="Q10" s="90"/>
    </row>
    <row r="11" spans="1:17" s="15" customFormat="1" ht="24" x14ac:dyDescent="0.2">
      <c r="A11" s="13" t="s">
        <v>265</v>
      </c>
      <c r="B11" s="13" t="s">
        <v>68</v>
      </c>
      <c r="C11" s="13" t="s">
        <v>266</v>
      </c>
      <c r="D11" s="13" t="s">
        <v>267</v>
      </c>
      <c r="E11" s="13" t="s">
        <v>268</v>
      </c>
      <c r="F11" s="14">
        <v>42881</v>
      </c>
      <c r="G11" s="14">
        <v>42881</v>
      </c>
      <c r="H11" s="14">
        <v>42923</v>
      </c>
      <c r="I11" s="13" t="s">
        <v>16</v>
      </c>
      <c r="J11" s="13" t="s">
        <v>98</v>
      </c>
      <c r="K11" s="31">
        <f>257871.99/1.16</f>
        <v>222303.43965517243</v>
      </c>
      <c r="L11" s="30">
        <f>+K11*1.16</f>
        <v>257871.99000000002</v>
      </c>
      <c r="M11" s="13" t="s">
        <v>256</v>
      </c>
      <c r="N11" s="46">
        <f>IF(M11="MN",K11,(K11*$N$8))</f>
        <v>222303.43965517243</v>
      </c>
      <c r="O11" s="30">
        <f>+N11*1.16</f>
        <v>257871.99000000002</v>
      </c>
      <c r="P11" s="13" t="s">
        <v>131</v>
      </c>
      <c r="Q11" s="13" t="s">
        <v>269</v>
      </c>
    </row>
    <row r="12" spans="1:17" s="15" customFormat="1" ht="12" x14ac:dyDescent="0.2">
      <c r="A12" s="13"/>
      <c r="B12" s="13"/>
      <c r="C12" s="13"/>
      <c r="D12" s="13"/>
      <c r="E12" s="13"/>
      <c r="F12" s="14"/>
      <c r="G12" s="14"/>
      <c r="H12" s="14"/>
      <c r="I12" s="13"/>
      <c r="J12" s="13"/>
      <c r="K12" s="31"/>
      <c r="L12" s="30"/>
      <c r="M12" s="13"/>
      <c r="N12" s="46"/>
      <c r="O12" s="30"/>
      <c r="P12" s="13"/>
      <c r="Q12" s="13"/>
    </row>
    <row r="13" spans="1:17" s="15" customFormat="1" ht="12" x14ac:dyDescent="0.2">
      <c r="A13" s="13"/>
      <c r="B13" s="13"/>
      <c r="C13" s="13"/>
      <c r="D13" s="13"/>
      <c r="E13" s="13"/>
      <c r="F13" s="14"/>
      <c r="G13" s="14"/>
      <c r="H13" s="14"/>
      <c r="I13" s="13"/>
      <c r="J13" s="13"/>
      <c r="K13" s="31"/>
      <c r="L13" s="30"/>
      <c r="M13" s="13"/>
      <c r="N13" s="46"/>
      <c r="O13" s="30"/>
      <c r="P13" s="13"/>
      <c r="Q13" s="13"/>
    </row>
    <row r="14" spans="1:17" s="15" customFormat="1" ht="12" x14ac:dyDescent="0.2">
      <c r="A14" s="13"/>
      <c r="B14" s="13"/>
      <c r="C14" s="13"/>
      <c r="D14" s="13"/>
      <c r="E14" s="13"/>
      <c r="F14" s="14"/>
      <c r="G14" s="14"/>
      <c r="H14" s="14"/>
      <c r="I14" s="13"/>
      <c r="J14" s="13"/>
      <c r="K14" s="31"/>
      <c r="L14" s="30"/>
      <c r="M14" s="13"/>
      <c r="N14" s="46"/>
      <c r="O14" s="30"/>
      <c r="P14" s="13"/>
      <c r="Q14" s="13"/>
    </row>
    <row r="15" spans="1:17" s="15" customFormat="1" ht="12" x14ac:dyDescent="0.2">
      <c r="A15" s="13"/>
      <c r="B15" s="13"/>
      <c r="C15" s="13"/>
      <c r="D15" s="13"/>
      <c r="E15" s="13"/>
      <c r="F15" s="14"/>
      <c r="G15" s="14"/>
      <c r="H15" s="14"/>
      <c r="I15" s="13"/>
      <c r="J15" s="13"/>
      <c r="K15" s="31"/>
      <c r="L15" s="30"/>
      <c r="M15" s="13"/>
      <c r="N15" s="46"/>
      <c r="O15" s="30"/>
      <c r="P15" s="13"/>
      <c r="Q15" s="13"/>
    </row>
    <row r="16" spans="1:17" s="15" customFormat="1" ht="12" x14ac:dyDescent="0.2">
      <c r="A16" s="13"/>
      <c r="B16" s="13"/>
      <c r="C16" s="13"/>
      <c r="D16" s="13"/>
      <c r="E16" s="13"/>
      <c r="F16" s="14"/>
      <c r="G16" s="14"/>
      <c r="H16" s="14"/>
      <c r="I16" s="13"/>
      <c r="J16" s="13"/>
      <c r="K16" s="31"/>
      <c r="L16" s="30"/>
      <c r="M16" s="13"/>
      <c r="N16" s="46"/>
      <c r="O16" s="30"/>
      <c r="P16" s="13"/>
      <c r="Q16" s="13"/>
    </row>
    <row r="17" spans="1:17" s="15" customFormat="1" ht="12" x14ac:dyDescent="0.2">
      <c r="A17" s="13"/>
      <c r="B17" s="13"/>
      <c r="C17" s="13"/>
      <c r="D17" s="13"/>
      <c r="E17" s="13"/>
      <c r="F17" s="14"/>
      <c r="G17" s="14"/>
      <c r="H17" s="14"/>
      <c r="I17" s="13"/>
      <c r="J17" s="13"/>
      <c r="K17" s="31"/>
      <c r="L17" s="30"/>
      <c r="M17" s="13"/>
      <c r="N17" s="46"/>
      <c r="O17" s="30"/>
      <c r="P17" s="13"/>
      <c r="Q17" s="13"/>
    </row>
    <row r="18" spans="1:17" s="15" customFormat="1" ht="12" x14ac:dyDescent="0.2">
      <c r="A18" s="13"/>
      <c r="B18" s="13"/>
      <c r="C18" s="13"/>
      <c r="D18" s="13"/>
      <c r="E18" s="13"/>
      <c r="F18" s="14"/>
      <c r="G18" s="14"/>
      <c r="H18" s="14"/>
      <c r="I18" s="13"/>
      <c r="J18" s="13"/>
      <c r="K18" s="31"/>
      <c r="L18" s="30"/>
      <c r="M18" s="13"/>
      <c r="N18" s="46"/>
      <c r="O18" s="30"/>
      <c r="P18" s="13"/>
      <c r="Q18" s="13"/>
    </row>
    <row r="19" spans="1:17" s="15" customFormat="1" ht="12" x14ac:dyDescent="0.2">
      <c r="A19" s="13"/>
      <c r="B19" s="13"/>
      <c r="C19" s="13"/>
      <c r="D19" s="13"/>
      <c r="E19" s="13"/>
      <c r="F19" s="14"/>
      <c r="G19" s="14"/>
      <c r="H19" s="14"/>
      <c r="I19" s="13"/>
      <c r="J19" s="13"/>
      <c r="K19" s="31"/>
      <c r="L19" s="30"/>
      <c r="M19" s="13"/>
      <c r="N19" s="46"/>
      <c r="O19" s="30"/>
      <c r="P19" s="13"/>
      <c r="Q19" s="13"/>
    </row>
    <row r="20" spans="1:17" s="15" customFormat="1" ht="12" x14ac:dyDescent="0.2">
      <c r="A20" s="13"/>
      <c r="B20" s="13"/>
      <c r="C20" s="13"/>
      <c r="D20" s="13"/>
      <c r="E20" s="13"/>
      <c r="F20" s="14"/>
      <c r="G20" s="14"/>
      <c r="H20" s="14"/>
      <c r="I20" s="13"/>
      <c r="J20" s="13"/>
      <c r="K20" s="31"/>
      <c r="L20" s="30"/>
      <c r="M20" s="13"/>
      <c r="N20" s="46"/>
      <c r="O20" s="30"/>
      <c r="P20" s="13"/>
      <c r="Q20" s="13"/>
    </row>
    <row r="21" spans="1:17" s="15" customFormat="1" ht="12" x14ac:dyDescent="0.2">
      <c r="A21" s="13"/>
      <c r="B21" s="13"/>
      <c r="C21" s="13"/>
      <c r="D21" s="13"/>
      <c r="E21" s="13"/>
      <c r="F21" s="14"/>
      <c r="G21" s="14"/>
      <c r="H21" s="14"/>
      <c r="I21" s="13"/>
      <c r="J21" s="13"/>
      <c r="K21" s="31"/>
      <c r="L21" s="30"/>
      <c r="M21" s="13"/>
      <c r="N21" s="46"/>
      <c r="O21" s="30"/>
      <c r="P21" s="13"/>
      <c r="Q21" s="13"/>
    </row>
  </sheetData>
  <mergeCells count="19">
    <mergeCell ref="A2:O2"/>
    <mergeCell ref="A3:O3"/>
    <mergeCell ref="A4:O4"/>
    <mergeCell ref="A5:O5"/>
    <mergeCell ref="A9:A10"/>
    <mergeCell ref="B9:B10"/>
    <mergeCell ref="C9:C10"/>
    <mergeCell ref="D9:D10"/>
    <mergeCell ref="E9:E10"/>
    <mergeCell ref="F9:H9"/>
    <mergeCell ref="O9:O10"/>
    <mergeCell ref="P9:P10"/>
    <mergeCell ref="Q9:Q10"/>
    <mergeCell ref="I9:I10"/>
    <mergeCell ref="J9:J10"/>
    <mergeCell ref="K9:K10"/>
    <mergeCell ref="L9:L10"/>
    <mergeCell ref="M9:M10"/>
    <mergeCell ref="N9:N10"/>
  </mergeCells>
  <pageMargins left="0.7" right="0.7" top="0.75" bottom="0.75" header="0.3" footer="0.3"/>
  <pageSetup orientation="portrait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Contratos 2017</vt:lpstr>
      <vt:lpstr>Convenios 2017</vt:lpstr>
      <vt:lpstr>Contratos 2017 F y PE</vt:lpstr>
      <vt:lpstr>PROYECTOS ESPECIALES</vt:lpstr>
      <vt:lpstr>FIDEICOMISO</vt:lpstr>
      <vt:lpstr>'Contratos 2017'!Área_de_impresión</vt:lpstr>
    </vt:vector>
  </TitlesOfParts>
  <Company>CIO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Silvia Mendoza Camarena</dc:creator>
  <cp:lastModifiedBy>Carmen</cp:lastModifiedBy>
  <cp:lastPrinted>2016-03-02T22:10:28Z</cp:lastPrinted>
  <dcterms:created xsi:type="dcterms:W3CDTF">2009-01-05T19:35:44Z</dcterms:created>
  <dcterms:modified xsi:type="dcterms:W3CDTF">2017-09-04T21:01:07Z</dcterms:modified>
</cp:coreProperties>
</file>